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Расходы 2020" sheetId="1" r:id="rId1"/>
  </sheets>
  <definedNames>
    <definedName name="_Date_">#REF!</definedName>
    <definedName name="_Otchet_Period_Source__AT_ObjectName">#REF!</definedName>
    <definedName name="_Period_">#REF!</definedName>
    <definedName name="Excel_BuiltIn_Print_Area" localSheetId="0">'Расходы 2020'!$A$1:$F$901</definedName>
    <definedName name="Excel_BuiltIn_Print_Titles" localSheetId="0">'Расходы 2020'!$7:$7</definedName>
    <definedName name="_xlnm.Print_Titles" localSheetId="0">'Расходы 2020'!$7:$7</definedName>
    <definedName name="_xlnm.Print_Area" localSheetId="0">'Расходы 2020'!$A$1:$F$901</definedName>
  </definedNames>
  <calcPr fullCalcOnLoad="1"/>
</workbook>
</file>

<file path=xl/sharedStrings.xml><?xml version="1.0" encoding="utf-8"?>
<sst xmlns="http://schemas.openxmlformats.org/spreadsheetml/2006/main" count="1905" uniqueCount="617">
  <si>
    <t xml:space="preserve">Приложение № 2 к решению Обнинского городского Собрания "О внесении изменений в решение Обнинского городского Собрания от 10.12.2019 № 01-60 "О бюджете города Обнинска на 2020 год и плановый период 2021 и 2022 годов" </t>
  </si>
  <si>
    <t>(руб.)</t>
  </si>
  <si>
    <t>Наименование</t>
  </si>
  <si>
    <t>Целевая статья</t>
  </si>
  <si>
    <t>Вид расхо-дов</t>
  </si>
  <si>
    <t xml:space="preserve">Утверждено на 2020 год </t>
  </si>
  <si>
    <t>Изменения (увеличение (+), уменьшение (-))</t>
  </si>
  <si>
    <t>Сумма на 2020 год с учетом изменений</t>
  </si>
  <si>
    <t>Муниципальная программа "Развитие системы образования города Обнинска"</t>
  </si>
  <si>
    <t>01 0 00 00000</t>
  </si>
  <si>
    <t>Подпрограмма "Развитие дошкольного образования на территории города Обнинска"</t>
  </si>
  <si>
    <t>01 1 00 00000</t>
  </si>
  <si>
    <t>Обеспечение государственных гарантий на получение общедоступного и бесплатного дошкольного образования</t>
  </si>
  <si>
    <t>01 1 01 16020</t>
  </si>
  <si>
    <t>Предоставление субсидий бюджетным, автономным учреждениям и иным некоммерческим организациям</t>
  </si>
  <si>
    <t>Субсидии бюджетным учреждениям</t>
  </si>
  <si>
    <t>Субсидии некоммерческим организациям (за исключением государственных (муниципальных) учреждений)</t>
  </si>
  <si>
    <t>Иные бюджетные ассигнования</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</si>
  <si>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</si>
  <si>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Дополнительные меры поддержки деятельности муниципальных дошкольных учреждений города Обнинска</t>
  </si>
  <si>
    <t>01 1 02 10000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</si>
  <si>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</si>
  <si>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S6040</t>
  </si>
  <si>
    <t>Укрепление материально-технической базы учреждений дошкольного образования</t>
  </si>
  <si>
    <t>01 1 04 10000</t>
  </si>
  <si>
    <t>Выплаты компенсации педагогическим работникам МБДОУ за наем (поднаем) жилых помещений</t>
  </si>
  <si>
    <t>01 1 05 10000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</si>
  <si>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</si>
  <si>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</si>
  <si>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Социальное обеспечение и иные выплаты населению</t>
  </si>
  <si>
    <t>Публичные нормативные социальные выплаты гражданам</t>
  </si>
  <si>
    <t>Создание дополнительных мест в детских дошкольных учреждениях</t>
  </si>
  <si>
    <t>01 1 08 10000</t>
  </si>
  <si>
    <t>Капитальные вложения в объекты государственной (муниципальной) собственности</t>
  </si>
  <si>
    <t>Бюджетные инвестиции</t>
  </si>
  <si>
    <t>Создание дополнительных мест в детских дошкольных учреждениях (строительство, реконструкция,капитальный (текущий) ремонт зданий (помещений) и приобретение зданий (помещений) для реализации программ дошкольного образования в рамках реализации федерального проекта "Содействие занятости женщин - создание условий дошкольного образования для детей в возрасте до трех лет" национального проекта "Демография")</t>
  </si>
  <si>
    <t>01 1 P2 16051</t>
  </si>
  <si>
    <t>Создание дополнительных мест в детских дошкольных учреждениях (создание дополнительных мест для детей в возрасте от 1,5 до 3 лет в детских дошкольных образовательных организациях в рамках реализации федерального проекта "Содействие занятости женщин - создание условий дошкольного образования для детей в возрасте до трех лет" национального проекта "Демография")</t>
  </si>
  <si>
    <t>01 1 P2 52320</t>
  </si>
  <si>
    <t>Создание дополнительных мест в детских дошкольных учреждениях (создание дополнительных мест для детей в возрасте от 1,5 до 3 лет в детских дошкольных образовательных организациях в рамках реализации федерального проекта "Содействие занятости женщин - создание условий дошкольного образования для детей в возрасте до трех лет" национального проекта "Демография") за счет средств областного бюджета</t>
  </si>
  <si>
    <t>01 1 P2 52321</t>
  </si>
  <si>
    <t>Создание дополнительных мест в детских дошкольных учреждениях (создание дополнительных мест для детей в возрасте от 1,5 до 3 лет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 в рамках реализации федерального проекта "Содействие занятости женщин - создание условий дошкольного образования для детей в возрасте до трех лет" национального проекта "Демография")</t>
  </si>
  <si>
    <t>01 1 P2 52530</t>
  </si>
  <si>
    <t>Подпрограмма "Развитие системы общего образования города Обнинска"</t>
  </si>
  <si>
    <t>01 2 00 00000</t>
  </si>
  <si>
    <t xml:space="preserve">Обеспечение государственных гарантий на получение общедоступного и бесплатного общего образования </t>
  </si>
  <si>
    <t>01 2 01 16080</t>
  </si>
  <si>
    <t>Осуществление ежемесячных денежных выплат работникам муниципальных общеобразовательных учреждений</t>
  </si>
  <si>
    <t>01 2 02 16090</t>
  </si>
  <si>
    <t>Дополнительные меры поддержки деятельности учреждений общего образования</t>
  </si>
  <si>
    <t>01 2 03 10000</t>
  </si>
  <si>
    <t>Укрепление материально-технической базы общеобразовательных учреждений</t>
  </si>
  <si>
    <t>01 2 04 10000</t>
  </si>
  <si>
    <t>Укрепление материально-технической базы общеобразовательных учреждений (за счет средств субсидии на ремонт зданий (помещений) в общеобразовательных организациях)</t>
  </si>
  <si>
    <t>01 2 04 S6112</t>
  </si>
  <si>
    <t>Выплаты компенсации педагогическим работникам МБОУ за наем (поднаем) жилых помещений</t>
  </si>
  <si>
    <t>01 2 05 10000</t>
  </si>
  <si>
    <t>Ежемесячное денежное вознаграждение за классное руководство педагогическим работникам муниципальных общеобразовательных организаций</t>
  </si>
  <si>
    <t>01 2 09 53030</t>
  </si>
  <si>
    <t>Укрепление материально-технической базы общеобразовательных учреждений (ремонт зданий (помещений) в общеобразовательных организациях в рамках федерального проекта "Современная школа" национального проекта "Образование")</t>
  </si>
  <si>
    <t>01 2 E1 16112</t>
  </si>
  <si>
    <t>Укрепление материально-технической базы общеобразовательных учреждений (создание современной образовательной среды, обеспечивающей качество образования в рамках федерального проекта "Современная школа" национального проекта "Образование")</t>
  </si>
  <si>
    <t>01 2 E1 16113</t>
  </si>
  <si>
    <t>Создание дополнительных мест в общеобразовательных организациях (в рамках федерального проекта "Современная школа" национального проекта "Образование")</t>
  </si>
  <si>
    <t>01 2 E1 55202</t>
  </si>
  <si>
    <t>Создание дополнительных мест в общеобразовательных организациях (строительство (реконструкция) объектов социальной инфраструктуры в рамках реализации федерального проекта "Жилье" национального проекта "Жилье и городская среда")</t>
  </si>
  <si>
    <t>01 2 F1 50213</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</si>
  <si>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</si>
  <si>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</si>
  <si>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</si>
  <si>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</si>
  <si>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</si>
  <si>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</si>
  <si>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Подпрограмма "Организация отдыха, оздоровления и занятости детей и подростков города Обнинска"</t>
  </si>
  <si>
    <t>01 4 00 00000</t>
  </si>
  <si>
    <t xml:space="preserve">Организация отдыха и оздоровления детей и подростков города Обнинска  </t>
  </si>
  <si>
    <t>01 4 01 S8070</t>
  </si>
  <si>
    <t>Временное трудоустройство обучающихся от 14 до 17 лет в свободное от учебы время</t>
  </si>
  <si>
    <t>01 4 02 10000</t>
  </si>
  <si>
    <t>Подпрограмма "Развитие дополнительного образования детей города Обнинска"</t>
  </si>
  <si>
    <t>01 5 00 00000</t>
  </si>
  <si>
    <t>Обеспечение деятельности учреждений дополнительного образования</t>
  </si>
  <si>
    <t>01 5 01 10000</t>
  </si>
  <si>
    <t>Субсидии автономным учреждениям</t>
  </si>
  <si>
    <t>Укрепление материально-технической базы учреждений дополнительного образования</t>
  </si>
  <si>
    <t>01 5 04 10000</t>
  </si>
  <si>
    <t>Создание детского технопарка "Кванториум" за счет средств областного бюджета</t>
  </si>
  <si>
    <t>01 5 05 00150</t>
  </si>
  <si>
    <t>Создание детского технопарка "Кванториум"</t>
  </si>
  <si>
    <t>01 5 05 10000</t>
  </si>
  <si>
    <t>Создание детского технопарка "Кванториум" (создание современной образовательной среды, обеспечивающей качество дополнительного образования детей, в рамках федерального проекта "Успех каждого ребенка" национального проекта "Образование")</t>
  </si>
  <si>
    <t>01 5 E2 16201</t>
  </si>
  <si>
    <t>01 5 E2 16202</t>
  </si>
  <si>
    <t>Создание детского технопарка "Кванториум" (в рамках федерального проекта "Успех каждого ребенка" национального проекта "Образование")</t>
  </si>
  <si>
    <t>01 5 E2 51730</t>
  </si>
  <si>
    <t>Подпрограмма "Развитие методической  и профориентационной работы в системе образования города Обнинска"</t>
  </si>
  <si>
    <t>01 6 00 00000</t>
  </si>
  <si>
    <t xml:space="preserve">Методическое сопровождение совершенствования образовательного процесса в образовательных учреждениях  </t>
  </si>
  <si>
    <t>01 6 01 10000</t>
  </si>
  <si>
    <t>Организация профориентационной работы среди обучающихся общеобразовательных учреждений</t>
  </si>
  <si>
    <t>01 6 02 10000</t>
  </si>
  <si>
    <t>Подпрограмма "Создание условий для развития системы образования города Обнинска"</t>
  </si>
  <si>
    <t>01 7 00 00000</t>
  </si>
  <si>
    <t>Организация деятельности по руководству и управлению в системе образования</t>
  </si>
  <si>
    <t>01 7 01 10000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</si>
  <si>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</si>
  <si>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</si>
  <si>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</si>
  <si>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</si>
  <si>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200</t>
  </si>
  <si>
    <t>240</t>
  </si>
  <si>
    <t>800</t>
  </si>
  <si>
    <t>Уплата налогов, сборов и иных платежей</t>
  </si>
  <si>
    <t>850</t>
  </si>
  <si>
    <t>Ведение бухгалтерского, налогового и статистического учета в обслуживаемых учреждениях</t>
  </si>
  <si>
    <t>01 7 02 10000</t>
  </si>
  <si>
    <t>Расходы на выплаты персоналу казенных учреждений</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</si>
  <si>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</si>
  <si>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</si>
  <si>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</si>
  <si>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</si>
  <si>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</si>
  <si>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Выплата компенсации  части родительской платы</t>
  </si>
  <si>
    <t>01 7 05 16030</t>
  </si>
  <si>
    <t>Создание и развитие на территории города Обнинска распределенного детского технологического парка</t>
  </si>
  <si>
    <t>01 7 06 L5250</t>
  </si>
  <si>
    <t>Муниципальная программа "Развитие культуры города Обнинска"</t>
  </si>
  <si>
    <t>02 0 00 00000</t>
  </si>
  <si>
    <t xml:space="preserve">Подпрограмма "Поддержка и развитие культурно-досуговой деятельности и народного творчества в городе Обнинске" </t>
  </si>
  <si>
    <t>02 1 00 00000</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</si>
  <si>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</si>
  <si>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</si>
  <si>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</si>
  <si>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</si>
  <si>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</si>
  <si>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</si>
  <si>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Проведение ремонтов, благоустройства, укрепление и совершенствование материально-технической базы муниципальных учреждений культуры (за счет средств субсидии на обеспечение финансовой устойчивости муниципальных образований Калужской области)</t>
  </si>
  <si>
    <t>02 1 03 S0250</t>
  </si>
  <si>
    <t>Организация киновидеопоказа и досуговых мероприятий</t>
  </si>
  <si>
    <t>02 1 04 10000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</si>
  <si>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</si>
  <si>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</si>
  <si>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</si>
  <si>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</si>
  <si>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 (за счет средств областного бюджета)</t>
  </si>
  <si>
    <t>02 1 07 00270</t>
  </si>
  <si>
    <t>Организация и проведение мероприятий в рамках деятельности ТОС</t>
  </si>
  <si>
    <t>02 1 07 10000</t>
  </si>
  <si>
    <t>Организация выездных мероприятий</t>
  </si>
  <si>
    <t>02 1 08 10000</t>
  </si>
  <si>
    <t>Подпрограмма "Поддержка и развитие муниципальных библиотек города Обнинска"</t>
  </si>
  <si>
    <t>02 2 00 00000</t>
  </si>
  <si>
    <t>Обеспечение библиотечно-информационного обслуживания</t>
  </si>
  <si>
    <t>02 2 01 10000</t>
  </si>
  <si>
    <t>Проведение ремонтов, благоустройства, укрепление и совершенствование материально-технической базы муниципальных библиотек</t>
  </si>
  <si>
    <t>02 2 02 10000</t>
  </si>
  <si>
    <t xml:space="preserve">Подпрограмма "Поддержка и развитие деятельности Музея истории города Обнинска" </t>
  </si>
  <si>
    <t>02 3 00 00000</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</si>
  <si>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</si>
  <si>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</si>
  <si>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</si>
  <si>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02 3 02 10000</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</si>
  <si>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</si>
  <si>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</si>
  <si>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</si>
  <si>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</si>
  <si>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</si>
  <si>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</si>
  <si>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</si>
  <si>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</si>
  <si>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</si>
  <si>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</si>
  <si>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</si>
  <si>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</si>
  <si>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Муниципальная программа "Молодежь города Обнинска"</t>
  </si>
  <si>
    <t>03 0 00 00000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</si>
  <si>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</si>
  <si>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</si>
  <si>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</si>
  <si>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</si>
  <si>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 xml:space="preserve">Муниципальная программа "Развитие физической культуры и спорта в городе Обнинске" </t>
  </si>
  <si>
    <t>04 0 00 00000</t>
  </si>
  <si>
    <t>Организация и проведение общегородских спортивных мероприятий</t>
  </si>
  <si>
    <t>04 0 02 10000</t>
  </si>
  <si>
    <t xml:space="preserve">Осуществление спортивной деятельности по классическому и пляжному волейболу </t>
  </si>
  <si>
    <t>04 0 03 10000</t>
  </si>
  <si>
    <t>Осуществление спортивной деятельности по классическому и пляжному волейболу (за счет средств субсидии на обеспечение финансовой устойчивости муниципальных образований Калужской области)</t>
  </si>
  <si>
    <t xml:space="preserve">Поддержка деятельности спортивных организаций, осуществляющих проведение физкультурно-оздоровительных и спортивных мероприятий  </t>
  </si>
  <si>
    <t>04 0 04 10000</t>
  </si>
  <si>
    <t>Обеспечение деятельности муниципальных учреждений, реализующих программы спортивной подготовки</t>
  </si>
  <si>
    <t>04 0 05 10000</t>
  </si>
  <si>
    <t>Реализация мероприятий, включенных в федеральную целевую программу "Развитие физической культуры и спорта в Российской Федерации на 2016 - 2020 годы" (в рамках федерального проекта "Спорт - норма жизни" национального проекта "Демография")</t>
  </si>
  <si>
    <t>04 0 P5 54950</t>
  </si>
  <si>
    <t>Муниципальная программа "Социальная поддержка населения города Обнинска"</t>
  </si>
  <si>
    <t>05 0 00 00000</t>
  </si>
  <si>
    <t xml:space="preserve">Подпрограмма "Дополнительные меры социальной поддержки отдельных категорий граждан, проживающих в городе Обнинске" </t>
  </si>
  <si>
    <t>05 1 00 00000</t>
  </si>
  <si>
    <t>Компенсация оплаты жилищно-коммунальных услуг отдельным категориям граждан</t>
  </si>
  <si>
    <t>05 1 01 52500</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</si>
  <si>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</si>
  <si>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</si>
  <si>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</si>
  <si>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</si>
  <si>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Обеспечение социальных выплат, пособий, компенсаций детям и семьям с детьми</t>
  </si>
  <si>
    <t>05 1 04 03300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</si>
  <si>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</si>
  <si>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</si>
  <si>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</si>
  <si>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</si>
  <si>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</si>
  <si>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</si>
  <si>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Социальные выплаты гражданам, кроме публичных нормативных социальных выплат</t>
  </si>
  <si>
    <t>Осуществление деятельности по образованию патронатных семей для граждан пожилого возраста и инвалидов в Калужской области</t>
  </si>
  <si>
    <t>05 1 07 03060</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</si>
  <si>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</si>
  <si>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05 1 08 52700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</si>
  <si>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</si>
  <si>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05 1 10 53800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</si>
  <si>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за счет средств резервного фонда Правительства Российской Федерации</t>
  </si>
  <si>
    <t>05 1 10 5380F</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</si>
  <si>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</si>
  <si>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</si>
  <si>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</si>
  <si>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</si>
  <si>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</si>
  <si>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</si>
  <si>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</si>
  <si>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</si>
  <si>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</si>
  <si>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</si>
  <si>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Ежемесячная доплата к государственной пенсии лицам, замещавшим муниципальные должности и должности муниципальной службы</t>
  </si>
  <si>
    <t>05 1 17 10000</t>
  </si>
  <si>
    <t xml:space="preserve">Предоставление банных услуг отдельным категориям граждан </t>
  </si>
  <si>
    <t>05 1 20 10000</t>
  </si>
  <si>
    <t xml:space="preserve">Предоставление денежных выплат и компенсаций отдельным категориям граждан, подвергшихся воздействию радиации </t>
  </si>
  <si>
    <t>05 1 21 51370</t>
  </si>
  <si>
    <t>Компенсация отдельным категориям граждан оплаты взноса на капитальный ремонт общего имущества в многоквартирном доме</t>
  </si>
  <si>
    <t>05 1 22 R4620</t>
  </si>
  <si>
    <t>Осуществление ежемесячных выплат на детей в возрасте от трех до семи лет включительно</t>
  </si>
  <si>
    <t>05 1 24 R3020</t>
  </si>
  <si>
    <t>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t>
  </si>
  <si>
    <t>05 1 24 R302F</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</si>
  <si>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</si>
  <si>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</si>
  <si>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</si>
  <si>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</si>
  <si>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в связи с рождением (усыновлением) первого ребенка (в рамках реализации федерального проекта "Финансовая поддержка семей при рождении детей" национального проекта "Демография")</t>
  </si>
  <si>
    <t>05 1 P1 55730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</si>
  <si>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</si>
  <si>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</si>
  <si>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Подпрограмма "Доступная среда в городе Обнинске"</t>
  </si>
  <si>
    <t>05 2 00 00000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</si>
  <si>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</si>
  <si>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</si>
  <si>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Устройство съездов с пешеходных тротуаров для маломобильных групп населения</t>
  </si>
  <si>
    <t>05 2 02 10000</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</si>
  <si>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</si>
  <si>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</si>
  <si>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</si>
  <si>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</si>
  <si>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Оборудование квартир инвалидов специальными техническими средствами</t>
  </si>
  <si>
    <t>05 2 05 10000</t>
  </si>
  <si>
    <t>Организация работы клубных формирований для пожилых граждан и инвалидов</t>
  </si>
  <si>
    <t>05 2 06 10000</t>
  </si>
  <si>
    <t>Подпрограмма "Жилье в кредит"</t>
  </si>
  <si>
    <t>05 3 00 00000</t>
  </si>
  <si>
    <t xml:space="preserve">Предоставление компенсации гражданам на приобретение жилья </t>
  </si>
  <si>
    <t>05 3 01 10000</t>
  </si>
  <si>
    <t>Подпрограмма "Обеспечение жильем молодых семей"</t>
  </si>
  <si>
    <t>05 4 00 00000</t>
  </si>
  <si>
    <t>Предоставление молодым семьям социальных выплат на приобретение (строительство) жилья</t>
  </si>
  <si>
    <t>05 4 01 L4970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</si>
  <si>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</si>
  <si>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</si>
  <si>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</si>
  <si>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</si>
  <si>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</si>
  <si>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</si>
  <si>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</si>
  <si>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</si>
  <si>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</si>
  <si>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</si>
  <si>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</si>
  <si>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</si>
  <si>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 (за счет средств областного бюджета)</t>
  </si>
  <si>
    <t>06 0 03 00270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</si>
  <si>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</si>
  <si>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</si>
  <si>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</si>
  <si>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</si>
  <si>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</si>
  <si>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</si>
  <si>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Техническое оснащение улично-дорожной сети города с целью обеспечения безопасности дорожного движения (за счет средств субсидии на осуществление дорожной деятельности)</t>
  </si>
  <si>
    <t>06 0 05 S5000</t>
  </si>
  <si>
    <t>Строительство и реконструкция автомобильных дорог и искусственных сооружений на них</t>
  </si>
  <si>
    <t>06 0 07 10000</t>
  </si>
  <si>
    <t>Строительство и реконструкция автомобильных дорог и искусственных сооружений на них (за счет средств субсидии на строительство (реконструкцию) автомобильных дорог в рамках реализации федерального проекта "Жилье" национального проекта "Жилье и городская среда")</t>
  </si>
  <si>
    <t>06 0 F1 50211</t>
  </si>
  <si>
    <t>Разработка проектной документации и строительство муниципальной магистральной улицы общегородского значения в продолжение проспекта Ленина от пересечения с улицей Владимира Малых до пересечения с улицей Борисоглебская в городе Обнинске (в рамках реализации федерального проекта "Жилье" национального проекта "Жилье и городская среда")</t>
  </si>
  <si>
    <t>06 0 F1 50219</t>
  </si>
  <si>
    <t>Выполнение комплекса работ по ремонту автомобильных дорог (в рамках реализации федерального проекта "Дорожная сеть" национального проекта "Безопасные и качественные автомобильные дороги")</t>
  </si>
  <si>
    <t>06 0 R1 53930</t>
  </si>
  <si>
    <t>Выполнение комплекса работ по ремонту автомобильных дорог (в рамках реализации федерального проекта "Дорожная сеть" национального проекта "Безопасные и качественные автомобильные дороги") за счет средств областного бюджета</t>
  </si>
  <si>
    <t>06 0 R1 L5000</t>
  </si>
  <si>
    <t xml:space="preserve">Муниципальная программа "Содержание и обслуживание жилищного фонда муниципального образования "Город Обнинск" </t>
  </si>
  <si>
    <t>07 0 00 00000</t>
  </si>
  <si>
    <t>Ремонт и содержание муниципального жилья</t>
  </si>
  <si>
    <t>07 0 01 10000</t>
  </si>
  <si>
    <t>Софинансирование  работ по капитальному ремонту многоквартирных домов</t>
  </si>
  <si>
    <t>07 0 02 10000</t>
  </si>
  <si>
    <t>Специальные расходы</t>
  </si>
  <si>
    <t>Обеспечение деятельности аварийно-диспетчерской службы города</t>
  </si>
  <si>
    <t>07 0 03 10000</t>
  </si>
  <si>
    <t>Обеспечение деятельности  по приему оплаты платежей за услуги ЖКХ</t>
  </si>
  <si>
    <t>07 0 04 10000</t>
  </si>
  <si>
    <t>Возмещение части платы за содержание и ремонт помещений, находящихся в муниципальной собственности</t>
  </si>
  <si>
    <t>07 0 05 10000</t>
  </si>
  <si>
    <t>Капитальный ремонт балконных плит в многоквартирных домах</t>
  </si>
  <si>
    <t>07 0 07 10000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</si>
  <si>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</si>
  <si>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</si>
  <si>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</si>
  <si>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</si>
  <si>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Ремонт ветхих участков водопроводных сетей (за счет средств субсидии на капитальный ремонт водопроводных сетей, канализационных сетей, объектов централизованной системы холодного водоснабжения и (или) водоотведения муниципальной собственности)</t>
  </si>
  <si>
    <t>08 0 02 S7020</t>
  </si>
  <si>
    <t>Реконструкция магистральных сетей электроснабжения</t>
  </si>
  <si>
    <t>08 0 03 10000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</si>
  <si>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</si>
  <si>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Повышение энергоэффективности малоэтажных домов</t>
  </si>
  <si>
    <t>08 0 04 10000</t>
  </si>
  <si>
    <t>Муниципальная программа "Благоустройство города Обнинска"</t>
  </si>
  <si>
    <t>09 0 00 00000</t>
  </si>
  <si>
    <t>Подпрограмма "Содержание и озеленение территории  города Обнинска"</t>
  </si>
  <si>
    <t>09 1 00 00000</t>
  </si>
  <si>
    <t xml:space="preserve">Реализация мероприятий по благоустройству территории  города Обнинска </t>
  </si>
  <si>
    <t>09 1 01 10000</t>
  </si>
  <si>
    <t>Реализация мероприятий по озеленению территорий города,  реконструкция и восстановление зеленых насаждений</t>
  </si>
  <si>
    <t>09 1 02 10000</t>
  </si>
  <si>
    <t>Реализация мероприятий по декоративному оформлению территорий города Обнинска</t>
  </si>
  <si>
    <t>09 1 05 10000</t>
  </si>
  <si>
    <t>Подпрограмма "Развитие наружного освещения территории города Обнинска"</t>
  </si>
  <si>
    <t>09 3 00 00000</t>
  </si>
  <si>
    <t>Содержание сети уличного освещения городских территорий</t>
  </si>
  <si>
    <t>09 3 01 10000</t>
  </si>
  <si>
    <t xml:space="preserve">Строительство и реконструкция существующих  сетей наружного освещения </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</si>
  <si>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</si>
  <si>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</si>
  <si>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</si>
  <si>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</si>
  <si>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</si>
  <si>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Организация и проведение городских мероприятий на территории парков города</t>
  </si>
  <si>
    <t>09 4 02 10000</t>
  </si>
  <si>
    <t>Подпрограмма "Организация похоронного дела"</t>
  </si>
  <si>
    <t>09 5 00 00000</t>
  </si>
  <si>
    <t>Обеспечение деятельности МКУ "БРУ"</t>
  </si>
  <si>
    <t>09 5 01 10000</t>
  </si>
  <si>
    <t>Оказание услуг по транспортировке тел умерших в патологоанатомическое отделение</t>
  </si>
  <si>
    <t>09 5 02 10000</t>
  </si>
  <si>
    <t>Благоустройство территорий кладбищ и содержание мест захоронений</t>
  </si>
  <si>
    <t>09 5 03 10000</t>
  </si>
  <si>
    <t>Муниципальная программа «Развитие и модернизация объектов инженерной инфраструктуры города Обнинска»</t>
  </si>
  <si>
    <t>10 0 00 00000</t>
  </si>
  <si>
    <t>Строительство магистрального хозфекального коллектора в рамках осуществления мероприятий по реализации стратегий социально-экономического развития наукоградов Российской Федерации</t>
  </si>
  <si>
    <t>10 0 01 L5250</t>
  </si>
  <si>
    <t xml:space="preserve">Строительство объекта: "Городской магистральный напорный хозфекальный коллектор и КНС-51 в г.Обнинске Калужской области" </t>
  </si>
  <si>
    <t>10 0 05 10000</t>
  </si>
  <si>
    <t>Строительство очистных сооружений ливневых стоков в районе промзоны Мишково</t>
  </si>
  <si>
    <t>10 0 06 10000</t>
  </si>
  <si>
    <t>Строительство очистных сооружений магистрального ливневого коллектора в районе ЖК "Зайцево"</t>
  </si>
  <si>
    <t>10 0 07 10000</t>
  </si>
  <si>
    <t>Строительство канализационно-насосной станции с двумя напорными коллекторами в районе ул. Пирогова</t>
  </si>
  <si>
    <t>10 0 08 10000</t>
  </si>
  <si>
    <t>Строительство канализационно-насосной станции с двумя напорными коллекторами в районе ул. Пирогова (реализация мероприятий, способствующих развитию научно-производственного комплекса наукограда Российской Федерации, а также сохранению и развитию инфраструктуры наукограда Российской Федерации)</t>
  </si>
  <si>
    <t>10 0 08 L5250</t>
  </si>
  <si>
    <t>Реализация проекта "Трасса Северного водовода от Вашутинского водозабора до города Обнинска, пр-т Маркса, ВК 874"</t>
  </si>
  <si>
    <t>10 0 11 00150</t>
  </si>
  <si>
    <t>Осуществление функций МБУ "Управляющая компания систем коммунальной инфраструктуры"</t>
  </si>
  <si>
    <t>10 0 16 10000</t>
  </si>
  <si>
    <t>Строительство очистных сооружений магистрального ливневого коллектора в районе жилого комплекса "Зайцево" (в рамках реализации федерального проекта "Жилье" национального проекта "Жилье и городская среда")</t>
  </si>
  <si>
    <t>10 0 F1 50212</t>
  </si>
  <si>
    <t>Строительство городского магистрального напорного хозфекального коллектора и КНС-51 (в рамках реализации федерального проекта "Жилье" национального проекта "Жилье и городская среда")</t>
  </si>
  <si>
    <t>10 0 F1 50215</t>
  </si>
  <si>
    <t>Строительство очистных сооружений магистрального ливневого коллектора в районе ЖК "Зайцево" (в рамках реализации федерального проекта "Жилье" национального проекта "Жилье и городская среда")</t>
  </si>
  <si>
    <t>10 0 F1 50217</t>
  </si>
  <si>
    <t>Разработка проектной документации и строительство канализационно-насосной станции с двумя напорными коллекторами в районе ул. Пирогова (в рамках реализации федерального проекта "Жилье" национального проекта "Жилье и городская среда")</t>
  </si>
  <si>
    <t>10 0 F1 50218</t>
  </si>
  <si>
    <t>Муниципальная программа "Обеспечение правопорядка и безопасности населения на территории города Обнинска"</t>
  </si>
  <si>
    <t>11 0 00 00000</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</si>
  <si>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</si>
  <si>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</si>
  <si>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</si>
  <si>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</si>
  <si>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первичных мер пожарной безопасности в границах городского округа</t>
  </si>
  <si>
    <t>11 1 02 10000</t>
  </si>
  <si>
    <t>Подпрограмма "Профилактика правонарушений и злоупотреблений наркотиками в муниципальном образовании "Город Обнинск"</t>
  </si>
  <si>
    <t>11 2 00 00000</t>
  </si>
  <si>
    <t>Установка и модернизация систем видеонаблюдения в муниципальных образовательных учреждениях</t>
  </si>
  <si>
    <t>11 2 01 10000</t>
  </si>
  <si>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</si>
  <si>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</si>
  <si>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</si>
  <si>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</si>
  <si>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 xml:space="preserve">Проведение мероприятий антинаркотической направленности </t>
  </si>
  <si>
    <t>11 2 04 10000</t>
  </si>
  <si>
    <t>Поддержка организаций, занимающихся реабилитацией граждан, страдающих наркотической и алкогольной зависимостью</t>
  </si>
  <si>
    <t>11 2 05 10000</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</si>
  <si>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</si>
  <si>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</si>
  <si>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</si>
  <si>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</si>
  <si>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индивидуальным предпринимателям и юридическим лицам - производителям товаров, работ и услуг на возмещение расходов, связанных с началом предпринимательской деятельности</t>
  </si>
  <si>
    <t>12 1 01 10000</t>
  </si>
  <si>
    <t>Предоставление субсидий субъектам малого и среднего предпринимательства на компенсацию затрат</t>
  </si>
  <si>
    <t>12 1 02 S6840</t>
  </si>
  <si>
    <t>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t>
  </si>
  <si>
    <t>12 1 03 S6840</t>
  </si>
  <si>
    <t>Обеспечение консультационной, организационно-методической и информационной поддержки предпринимательской деятельности</t>
  </si>
  <si>
    <t>12 1 04 10000</t>
  </si>
  <si>
    <t>Подпрограмма "Развитие инновационной деятельности в городе Обнинске"</t>
  </si>
  <si>
    <t>12 2 00 00000</t>
  </si>
  <si>
    <t>Предоставление  субсидий субъектам малого и среднего инновационного предпринимательства на компенсацию части затрат</t>
  </si>
  <si>
    <t>12 2 01 10000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</si>
  <si>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</si>
  <si>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</si>
  <si>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</si>
  <si>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</si>
  <si>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 за счет средств на поощрение муниципальных образований Калужской области - победителей регионального этапа конкурса "Лучшая муниципальная практика"</t>
  </si>
  <si>
    <t>12 2 05 00560</t>
  </si>
  <si>
    <t>Предоставление субсидий некоммерческим организациям инфраструктуры поддержки предпринимательства и инновационной деятельности, занимающимися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</si>
  <si>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</si>
  <si>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</si>
  <si>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</si>
  <si>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</si>
  <si>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</si>
  <si>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t>
  </si>
  <si>
    <t>13 1 01 10000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</si>
  <si>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</si>
  <si>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</si>
  <si>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</si>
  <si>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</si>
  <si>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</si>
  <si>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</si>
  <si>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Подготовка документов территориального планирования и градостроительного зонирования в соответствии с действующим законодательством (Выполнение кадастровых работ по устранению реестровых ошибок, выявленных при внесении в сведения ЕГРН  описаний границ населенных пунктов и территориальных зон)</t>
  </si>
  <si>
    <t>13 2 01 S7010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</si>
  <si>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</si>
  <si>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</si>
  <si>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</si>
  <si>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</si>
  <si>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Разработка проекта планировки и межевания территории на земельных участках, предоставляемых многодетным семьям г.Обнинска в районе поселения Спас-Загорье (Госсортучасток)</t>
  </si>
  <si>
    <t>13 2 04 S0150</t>
  </si>
  <si>
    <t>Муниципальная программа "Переселение граждан из аварийного жилищного фонда в муниципальном образовании "Город Обнинск"</t>
  </si>
  <si>
    <t>14 0 00 00000</t>
  </si>
  <si>
    <t>Проектирование и строительство многоквартирного жилого дома или приобретение жилых помещений</t>
  </si>
  <si>
    <t>14 0 01 10000</t>
  </si>
  <si>
    <t>Проектирование и строительство многоквартирного жилого дома или приобретение жилых помещений (Расходы на переселение граждан из аварийного жилищного фонда в рамках реализации федерального проекта "Обеспечение устойчивого сокращения непригодного для проживания жилищного фонда" национального проекта "Жилье и городская среда") за счет средств Фонда содействия реформированию жилищно-коммунального хозяйства</t>
  </si>
  <si>
    <t>14 0 F3 67483</t>
  </si>
  <si>
    <t>Проектирование и строительство многоквартирного жилого дома или приобретение жилых помещений (Расходы на переселение граждан из аварийного жилищного фонда в рамках реализации федерального проекта "Обеспечение устойчивого сокращения непригодного для проживания жилищного фонда" национального проекта "Жилье и городская среда")  за счет средств областного бюджета</t>
  </si>
  <si>
    <t>14 0 F3 67484</t>
  </si>
  <si>
    <t>Проектирование и строительство многоквартирного жилого дома или приобретение жилых помещений (Расходы на переселение граждан из аварийного жилищного фонда в рамках реализации федерального проекта "Обеспечение устойчивого сокращения непригодного для проживания жилищного фонда" национального проекта "Жилье и городская среда") за счет средств местного бюджета</t>
  </si>
  <si>
    <t>14 0 F3 6748S</t>
  </si>
  <si>
    <t>Муниципальная программа «Формирование современной городской среды»</t>
  </si>
  <si>
    <t>15 0 00 00000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</si>
  <si>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t>
  </si>
  <si>
    <t>15 0 01 10000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</si>
  <si>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за счет средств областного бюджета</t>
  </si>
  <si>
    <t>15 0 01 S5551</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</si>
  <si>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</si>
  <si>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F2 55551</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</si>
  <si>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 за счет средств областного бюджета</t>
  </si>
  <si>
    <t>15 0 F2 85551</t>
  </si>
  <si>
    <t>Непрограммные направления расходов</t>
  </si>
  <si>
    <t>70 0 00 00000</t>
  </si>
  <si>
    <t>Обеспечение деятельности органов местного самоуправления</t>
  </si>
  <si>
    <t>70 1 00 00000</t>
  </si>
  <si>
    <t>Стимулирование руководителей исполнительно-распорядительных органов муниципальных образований области</t>
  </si>
  <si>
    <t>70 1 00 00530</t>
  </si>
  <si>
    <t>Формирование и содержание областных архивных фондов</t>
  </si>
  <si>
    <t>70 1 00 00800</t>
  </si>
  <si>
    <t>Осуществление государственных полномочий по осуществлению регионального государственного надзора в области технического состояния и эксплуатации аттракционов и осуществлению государственной регистрации аттракционов</t>
  </si>
  <si>
    <t>70 1 00 01000</t>
  </si>
  <si>
    <t>Организация исполнения полномочий  по обеспечению предоставления гражданам мер социальной поддержки</t>
  </si>
  <si>
    <t>70 1 00 03050</t>
  </si>
  <si>
    <t>Обеспечение деятельности представительного органа муниципального образования "Город Обнинск"</t>
  </si>
  <si>
    <t>70 1 00 11001</t>
  </si>
  <si>
    <t>Обеспечение деятельности Контрольно-счетной палаты муниципального образования "Город Обнинск"</t>
  </si>
  <si>
    <t>70 1 00 11002</t>
  </si>
  <si>
    <t>Обеспечение деятельности исполнительно-распорядительного органа муниципального образования "Город Обнинск"</t>
  </si>
  <si>
    <t>70 1 00 11003</t>
  </si>
  <si>
    <t>300</t>
  </si>
  <si>
    <t>320</t>
  </si>
  <si>
    <t>Обеспечение деятельности Управления финансов Администрации города Обнинска</t>
  </si>
  <si>
    <t>70 1 00 11004</t>
  </si>
  <si>
    <t>Обеспечение деятельности Комитета по материально-техническому обеспечению Администрации города Обнинска</t>
  </si>
  <si>
    <t>70 1 00 11005</t>
  </si>
  <si>
    <t>Осуществление полномочий по государственной регистрации актов гражданского состояния за счет средств областного бюджета</t>
  </si>
  <si>
    <t>70 1 00 11110</t>
  </si>
  <si>
    <t>Осуществление полномочий по государственной регистрации актов гражданского состояния</t>
  </si>
  <si>
    <t>70 1 00 59340</t>
  </si>
  <si>
    <t>Поощрение муниципальных образований Калужской области за достижение наилучших показателей социально-экономического развития городских округов и муниципальных районов Калужской области</t>
  </si>
  <si>
    <t>70 1 00 86060</t>
  </si>
  <si>
    <t>Резервные фонды местных администраций</t>
  </si>
  <si>
    <t>70 2 00 00000</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</si>
  <si>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</si>
  <si>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</si>
  <si>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</si>
  <si>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</si>
  <si>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</si>
  <si>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Расходы за счет резервного фонда Администрации города Обнинска</t>
  </si>
  <si>
    <t>70 2 00 12003</t>
  </si>
  <si>
    <t>Расходы за счет резервного фонда Администрации города Обнинска на предупреждение и ликвидацию чрезвычайных ситуаций и последствий стихийных бедствий</t>
  </si>
  <si>
    <t>70 2 00 12004</t>
  </si>
  <si>
    <t>Реализация прочих направлений деятельности в сфере установленных функций органов местного самоуправления</t>
  </si>
  <si>
    <t>70 3 00 00000</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</si>
  <si>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</si>
  <si>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</si>
  <si>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</si>
  <si>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</si>
  <si>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Процентные платежи по муниципальному долгу</t>
  </si>
  <si>
    <t>70 3 00 13003</t>
  </si>
  <si>
    <t>Обслуживание государственного (муниципального) долга</t>
  </si>
  <si>
    <t>Обслуживание муниципального долга</t>
  </si>
  <si>
    <t>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</si>
  <si>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70 3 00 13005</t>
  </si>
  <si>
    <t>Проведение отдельных мероприятий по транспорту</t>
  </si>
  <si>
    <t>70 3 00 13006</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</si>
  <si>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</si>
  <si>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</si>
  <si>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</si>
  <si>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</si>
  <si>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</si>
  <si>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</si>
  <si>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Проведение выборов в представительные органы муниципального образования</t>
  </si>
  <si>
    <t>70 3 00 13011</t>
  </si>
  <si>
    <t>Увеличение уставного фонда муниципального предприятия города Обнинска Калужской области "Обнинское пассажирское автотранспортное предприятие"</t>
  </si>
  <si>
    <t>70 3 00 13012</t>
  </si>
  <si>
    <t>Увеличение уставного фонда муниципального предприятия города Обнинска Калужской области "Коммунальное хозяйство"</t>
  </si>
  <si>
    <t>70 3 00 13013</t>
  </si>
  <si>
    <t>Увеличение уставного фонда муниципального предприятия города Обнинска Калужской области "Оздоровительные бани"</t>
  </si>
  <si>
    <t>70 3 00 13014</t>
  </si>
  <si>
    <t>Увеличение уставного фонда муниципального предприятия города Обнинска Калужской области "Кинотеатр "Мир"</t>
  </si>
  <si>
    <t>70 3 00 13015</t>
  </si>
  <si>
    <t>Увеличение уставного фонда муниципального предприятия города Обнинска Калужской области "Обнинская типография"</t>
  </si>
  <si>
    <t>70 3 00 13016</t>
  </si>
  <si>
    <t>Увеличение уставного фонда муниципального предприятия города Обнинска Калужской области "Дом ученых"</t>
  </si>
  <si>
    <t>70 3 00 13017</t>
  </si>
  <si>
    <t>Обеспечение части расходов по подготовке и проведению выборов в представительный орган местного самоуправления муниципального образования "Город Обнинск"</t>
  </si>
  <si>
    <t>70 3 00 13018</t>
  </si>
  <si>
    <t>Закупка товаров, работ и услуг для государственных (муниципальных) нужд</t>
  </si>
  <si>
    <t>Увеличение уставного фонда муниципального предприятия города Обнинска Калужской области "Управление жилищно-коммунального хозяйства"</t>
  </si>
  <si>
    <t>70 3 00 13019</t>
  </si>
  <si>
    <t>Обеспечение части расходов по подготовке и проведению общероссийского голосования по вопросу одобрения изменений в Конституцию Российской Федерации</t>
  </si>
  <si>
    <t>70 3 00 13020</t>
  </si>
  <si>
    <t>Расходы непрограммного характера за счет средств межбюджетных трансфертов, не включенные в другие направления расходов</t>
  </si>
  <si>
    <t>70 4 00 00000</t>
  </si>
  <si>
    <t>Организация и проведение памятного юбилейного мероприятия, направленного на популяризацию волейбола и спорта</t>
  </si>
  <si>
    <t>70 4 00 00151</t>
  </si>
  <si>
    <t>600</t>
  </si>
  <si>
    <t>610</t>
  </si>
  <si>
    <t>620</t>
  </si>
  <si>
    <t>Оказание содействия избирательным комиссиям при подготовке и проведении общероссийского голосования по вопросу одобрения изменений в Конституцию Российской Федерации</t>
  </si>
  <si>
    <t>70 4 00 00152</t>
  </si>
  <si>
    <t>Выплаты медицинским работникам, лечащим пациентов с диагнозом новой коронавирусной инфекции COVID-19</t>
  </si>
  <si>
    <t>70 4 00 00153</t>
  </si>
  <si>
    <t>Единовременные выплаты за особые условия труда и дополнительную нагрузку медицинским работникам, а также водителям скорой медицинской помощи, заболевшим при исполнении должностных обязанностей новой коронавирусной инфекцией COVID-19</t>
  </si>
  <si>
    <t>70 4 00 00154</t>
  </si>
  <si>
    <t>Поощрение за лучшее организационное и материально-техническое обеспечение проведения общероссийского голосования по вопросу одобрения изменений в Конституцию Российской Федерации</t>
  </si>
  <si>
    <t>70 4 00 00155</t>
  </si>
  <si>
    <t>Премии и гранты</t>
  </si>
  <si>
    <t>Финансовое обеспечение части расходов по осуществлению деятельности избирательных комиссий при проведении выборов в представительные органы МО</t>
  </si>
  <si>
    <t>70 4 00 00156</t>
  </si>
  <si>
    <t>Расходы в целях поощрения муниципальных образований Калужской области - победителей регионального этапа конкурса "Лучшая муниципальная практика"</t>
  </si>
  <si>
    <t>70 4 00 00560</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</si>
  <si>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</si>
  <si>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</si>
  <si>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Осуществление государственных полномочий по организации социального обслуживания граждан в Калужской области</t>
  </si>
  <si>
    <t>70 4 00 03410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</si>
  <si>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</si>
  <si>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</si>
  <si>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Премирование муниципальных образований - победителей Всероссийского конкурса "Лучшая муниципальная практика"</t>
  </si>
  <si>
    <t>70 4 00 53990</t>
  </si>
  <si>
    <t>Премирование муниципальных образований - победителей Всероссийского конкурса "Лучшая муниципальная практика" за счет средств резервного фонда Президента РФ</t>
  </si>
  <si>
    <t>70 4 00 5399R</t>
  </si>
  <si>
    <t>Осуществление государственных полномочий по проведению Всероссийской переписи населения 2020 года</t>
  </si>
  <si>
    <t>70 4 00 54690</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</si>
  <si>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</si>
  <si>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</si>
  <si>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t>Повышение уровня привлекательности профессиональной деятельности в сфере архитектуры и градостроительства</t>
  </si>
  <si>
    <t>70 4 00 S6233</t>
  </si>
  <si>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</si>
  <si>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</si>
  <si>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развитие и модернизацию объектов инженерной инфраструктуры города Обнинска</t>
  </si>
  <si>
    <t>70 5 00 15001</t>
  </si>
  <si>
    <t>Межбюджетные трансферты</t>
  </si>
  <si>
    <t>Иные межбюджетные трансферты</t>
  </si>
  <si>
    <t>Прочие непрограммные направления расходов</t>
  </si>
  <si>
    <t>70 9 00 00000</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</si>
  <si>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</si>
  <si>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</si>
  <si>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880</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</si>
  <si>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</si>
  <si>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</si>
  <si>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Дополнительные выплаты за поднаем жилья работникам федеральных государственных учреждений здравоохранения</t>
  </si>
  <si>
    <t>70 9 00 19003</t>
  </si>
  <si>
    <t>Мероприятия по здоровому образу жизни в городе Обнинске</t>
  </si>
  <si>
    <t>70 9 00 19004</t>
  </si>
  <si>
    <t>Исполнение судебных актов</t>
  </si>
  <si>
    <t>70 9 00 19005</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</si>
  <si>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</si>
  <si>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</si>
  <si>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Поощрение за лучшее организационное и материально-техническое обеспечение проведения общероссийского голосования по вопросу одобрения изменений в Конституцию Российской Федерации по решению органов местного самоуправления</t>
  </si>
  <si>
    <t>70 9 00 19008</t>
  </si>
  <si>
    <t>Расходы, связанные с организацией и проведением сельскохозяйственных ярмарок выходного дня в городе Обнинске</t>
  </si>
  <si>
    <t>70 9 00 19009</t>
  </si>
  <si>
    <t>ВСЕГО</t>
  </si>
  <si>
    <t>Распределение бюджетных ассигнований по целевым статьям (муниципальным программам и непрограммным направлениям деятельности), группам и подгруппам</t>
  </si>
  <si>
    <t xml:space="preserve">  видов расходов классификации расходов бюджетов на 2020 год</t>
  </si>
  <si>
    <t>от 29.12.2020  № 02-09</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</si>
</sst>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5">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sz val="12"/>
      <name val="Arial Cyr"/>
      <family val="0"/>
    </font>
    <font>
      <sz val="11"/>
      <name val="Times New Roman"/>
      <family val="1"/>
    </font>
    <font>
      <b/>
      <sz val="14"/>
      <name val="Times New Roman"/>
      <family val="1"/>
    </font>
    <font>
      <sz val="12"/>
      <name val="Times New Roman"/>
      <family val="1"/>
    </font>
    <font>
      <b/>
      <sz val="12"/>
      <name val="Times New Roman"/>
      <family val="1"/>
    </font>
    <font>
      <b/>
      <sz val="11"/>
      <name val="Times New Roman"/>
      <family val="1"/>
    </font>
    <font>
      <b/>
      <sz val="10"/>
      <name val="Arial Cyr"/>
      <family val="0"/>
    </font>
    <font>
      <sz val="12"/>
      <color indexed="8"/>
      <name val="Times New Roman"/>
      <family val="1"/>
    </font>
    <font>
      <b/>
      <i/>
      <sz val="10"/>
      <name val="Arial Cyr"/>
      <family val="0"/>
    </font>
    <font>
      <sz val="10"/>
      <name val="Times New Roman"/>
      <family val="1"/>
    </font>
    <font>
      <b/>
      <sz val="12.5"/>
      <name val="Arial Cyr"/>
      <family val="0"/>
    </font>
    <font>
      <b/>
      <sz val="12"/>
      <color indexed="8"/>
      <name val="Times New Roman"/>
      <family val="1"/>
    </font>
    <font>
      <sz val="12.5"/>
      <name val="Times New Roman"/>
      <family val="1"/>
    </font>
    <font>
      <sz val="12.5"/>
      <name val="Arial Cyr"/>
      <family val="0"/>
    </font>
    <font>
      <b/>
      <sz val="10"/>
      <name val="Times New Roman"/>
      <family val="1"/>
    </font>
    <font>
      <b/>
      <sz val="12.5"/>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b/>
      <sz val="11"/>
      <color indexed="52"/>
      <name val="Calibri"/>
      <family val="2"/>
    </font>
    <font>
      <sz val="11"/>
      <color indexed="52"/>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1">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s>
  <cellStyleXfs count="1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3"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4" fillId="33" borderId="0" applyNumberFormat="0" applyBorder="0" applyAlignment="0" applyProtection="0"/>
    <xf numFmtId="0" fontId="5" fillId="0" borderId="0">
      <alignment/>
      <protection/>
    </xf>
    <xf numFmtId="0" fontId="6" fillId="34" borderId="1" applyNumberFormat="0" applyAlignment="0" applyProtection="0"/>
    <xf numFmtId="0" fontId="7" fillId="35" borderId="2" applyNumberFormat="0" applyAlignment="0" applyProtection="0"/>
    <xf numFmtId="0" fontId="5" fillId="0" borderId="0">
      <alignment/>
      <protection/>
    </xf>
    <xf numFmtId="0" fontId="8" fillId="0" borderId="0" applyNumberFormat="0" applyFill="0" applyBorder="0" applyAlignment="0" applyProtection="0"/>
    <xf numFmtId="0" fontId="9" fillId="36"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4" borderId="0" applyNumberFormat="0" applyBorder="0" applyAlignment="0" applyProtection="0"/>
    <xf numFmtId="0" fontId="0" fillId="4" borderId="7" applyNumberFormat="0" applyAlignment="0" applyProtection="0"/>
    <xf numFmtId="0" fontId="16" fillId="34" borderId="8" applyNumberFormat="0" applyAlignment="0" applyProtection="0"/>
    <xf numFmtId="0" fontId="17" fillId="0" borderId="0">
      <alignment/>
      <protection/>
    </xf>
    <xf numFmtId="0" fontId="17" fillId="0" borderId="0">
      <alignment/>
      <protection/>
    </xf>
    <xf numFmtId="0" fontId="18" fillId="0" borderId="0" applyNumberFormat="0" applyFill="0" applyBorder="0" applyAlignment="0" applyProtection="0"/>
    <xf numFmtId="0" fontId="19" fillId="0" borderId="9" applyNumberFormat="0" applyFill="0" applyAlignment="0" applyProtection="0"/>
    <xf numFmtId="0" fontId="5" fillId="0" borderId="0">
      <alignment/>
      <protection/>
    </xf>
    <xf numFmtId="0" fontId="20" fillId="0" borderId="0" applyNumberFormat="0" applyFill="0" applyBorder="0" applyAlignment="0" applyProtection="0"/>
    <xf numFmtId="0" fontId="17" fillId="37" borderId="0">
      <alignment/>
      <protection/>
    </xf>
    <xf numFmtId="0" fontId="17" fillId="0" borderId="0">
      <alignment wrapText="1"/>
      <protection/>
    </xf>
    <xf numFmtId="0" fontId="17" fillId="0" borderId="0">
      <alignment/>
      <protection/>
    </xf>
    <xf numFmtId="0" fontId="21" fillId="0" borderId="0">
      <alignment horizontal="center" wrapText="1"/>
      <protection/>
    </xf>
    <xf numFmtId="0" fontId="21" fillId="0" borderId="0">
      <alignment horizontal="center"/>
      <protection/>
    </xf>
    <xf numFmtId="0" fontId="17" fillId="0" borderId="0">
      <alignment horizontal="right"/>
      <protection/>
    </xf>
    <xf numFmtId="0" fontId="17" fillId="37" borderId="10">
      <alignment/>
      <protection/>
    </xf>
    <xf numFmtId="0" fontId="17" fillId="0" borderId="11">
      <alignment horizontal="center" vertical="center" wrapText="1"/>
      <protection/>
    </xf>
    <xf numFmtId="0" fontId="17" fillId="37" borderId="12">
      <alignment/>
      <protection/>
    </xf>
    <xf numFmtId="49" fontId="17" fillId="0" borderId="11">
      <alignment horizontal="left" vertical="top" wrapText="1" indent="2"/>
      <protection/>
    </xf>
    <xf numFmtId="49" fontId="17" fillId="0" borderId="11">
      <alignment horizontal="center" vertical="top" shrinkToFit="1"/>
      <protection/>
    </xf>
    <xf numFmtId="0" fontId="22" fillId="0" borderId="13">
      <alignment horizontal="left" wrapText="1"/>
      <protection/>
    </xf>
    <xf numFmtId="0" fontId="23" fillId="0" borderId="14">
      <alignment horizontal="left" wrapText="1" indent="2"/>
      <protection/>
    </xf>
    <xf numFmtId="0" fontId="22" fillId="0" borderId="15">
      <alignment horizontal="left" wrapText="1" indent="2"/>
      <protection/>
    </xf>
    <xf numFmtId="0" fontId="24" fillId="0" borderId="11">
      <alignment horizontal="left"/>
      <protection/>
    </xf>
    <xf numFmtId="4" fontId="24" fillId="4" borderId="11">
      <alignment horizontal="right" vertical="top" shrinkToFit="1"/>
      <protection/>
    </xf>
    <xf numFmtId="10" fontId="24" fillId="4" borderId="11">
      <alignment horizontal="right" vertical="top" shrinkToFit="1"/>
      <protection/>
    </xf>
    <xf numFmtId="0" fontId="17" fillId="37" borderId="16">
      <alignment/>
      <protection/>
    </xf>
    <xf numFmtId="0" fontId="17" fillId="0" borderId="0">
      <alignment horizontal="left" wrapText="1"/>
      <protection/>
    </xf>
    <xf numFmtId="0" fontId="24" fillId="0" borderId="11">
      <alignment vertical="top" wrapText="1"/>
      <protection/>
    </xf>
    <xf numFmtId="4" fontId="24" fillId="5" borderId="11">
      <alignment horizontal="right" vertical="top" shrinkToFit="1"/>
      <protection/>
    </xf>
    <xf numFmtId="49" fontId="22" fillId="0" borderId="17">
      <alignment horizontal="center" wrapText="1"/>
      <protection/>
    </xf>
    <xf numFmtId="49" fontId="22" fillId="0" borderId="18">
      <alignment horizontal="center" wrapText="1"/>
      <protection/>
    </xf>
    <xf numFmtId="49" fontId="22" fillId="0" borderId="19">
      <alignment horizontal="center"/>
      <protection/>
    </xf>
    <xf numFmtId="0" fontId="17" fillId="37" borderId="16">
      <alignment horizontal="center"/>
      <protection/>
    </xf>
    <xf numFmtId="0" fontId="17" fillId="37" borderId="16">
      <alignment horizontal="left"/>
      <protection/>
    </xf>
    <xf numFmtId="49" fontId="22" fillId="0" borderId="20">
      <alignment horizontal="center"/>
      <protection/>
    </xf>
    <xf numFmtId="49" fontId="22" fillId="0" borderId="21">
      <alignment horizontal="center"/>
      <protection/>
    </xf>
    <xf numFmtId="49" fontId="22" fillId="0" borderId="11">
      <alignment horizontal="center"/>
      <protection/>
    </xf>
    <xf numFmtId="49" fontId="23" fillId="0" borderId="11">
      <alignment horizontal="center"/>
      <protection/>
    </xf>
    <xf numFmtId="4" fontId="23" fillId="0" borderId="11">
      <alignment horizontal="right"/>
      <protection/>
    </xf>
    <xf numFmtId="4" fontId="24" fillId="5" borderId="11">
      <alignment horizontal="right" vertical="top" shrinkToFit="1"/>
      <protection/>
    </xf>
    <xf numFmtId="0" fontId="49" fillId="38" borderId="0" applyNumberFormat="0" applyBorder="0" applyAlignment="0" applyProtection="0"/>
    <xf numFmtId="0" fontId="49" fillId="39" borderId="0" applyNumberFormat="0" applyBorder="0" applyAlignment="0" applyProtection="0"/>
    <xf numFmtId="0" fontId="49" fillId="40" borderId="0" applyNumberFormat="0" applyBorder="0" applyAlignment="0" applyProtection="0"/>
    <xf numFmtId="0" fontId="49" fillId="41" borderId="0" applyNumberFormat="0" applyBorder="0" applyAlignment="0" applyProtection="0"/>
    <xf numFmtId="0" fontId="49" fillId="42" borderId="0" applyNumberFormat="0" applyBorder="0" applyAlignment="0" applyProtection="0"/>
    <xf numFmtId="0" fontId="49" fillId="43" borderId="0" applyNumberFormat="0" applyBorder="0" applyAlignment="0" applyProtection="0"/>
    <xf numFmtId="0" fontId="50" fillId="44" borderId="22" applyNumberFormat="0" applyAlignment="0" applyProtection="0"/>
    <xf numFmtId="0" fontId="51" fillId="45" borderId="23" applyNumberFormat="0" applyAlignment="0" applyProtection="0"/>
    <xf numFmtId="0" fontId="52" fillId="45" borderId="22" applyNumberFormat="0" applyAlignment="0" applyProtection="0"/>
    <xf numFmtId="44" fontId="1" fillId="0" borderId="0" applyFill="0" applyBorder="0" applyAlignment="0" applyProtection="0"/>
    <xf numFmtId="42" fontId="1" fillId="0" borderId="0" applyFill="0" applyBorder="0" applyAlignment="0" applyProtection="0"/>
    <xf numFmtId="0" fontId="53" fillId="0" borderId="24" applyNumberFormat="0" applyFill="0" applyAlignment="0" applyProtection="0"/>
    <xf numFmtId="0" fontId="54" fillId="0" borderId="25" applyNumberFormat="0" applyFill="0" applyAlignment="0" applyProtection="0"/>
    <xf numFmtId="0" fontId="55" fillId="0" borderId="26" applyNumberFormat="0" applyFill="0" applyAlignment="0" applyProtection="0"/>
    <xf numFmtId="0" fontId="55" fillId="0" borderId="0" applyNumberFormat="0" applyFill="0" applyBorder="0" applyAlignment="0" applyProtection="0"/>
    <xf numFmtId="0" fontId="56" fillId="0" borderId="27" applyNumberFormat="0" applyFill="0" applyAlignment="0" applyProtection="0"/>
    <xf numFmtId="0" fontId="57" fillId="46" borderId="28" applyNumberFormat="0" applyAlignment="0" applyProtection="0"/>
    <xf numFmtId="0" fontId="58" fillId="0" borderId="0" applyNumberFormat="0" applyFill="0" applyBorder="0" applyAlignment="0" applyProtection="0"/>
    <xf numFmtId="0" fontId="59" fillId="47" borderId="0" applyNumberFormat="0" applyBorder="0" applyAlignment="0" applyProtection="0"/>
    <xf numFmtId="0" fontId="0" fillId="34" borderId="0">
      <alignment/>
      <protection/>
    </xf>
    <xf numFmtId="0" fontId="1" fillId="34" borderId="0">
      <alignment/>
      <protection/>
    </xf>
    <xf numFmtId="0" fontId="60" fillId="48" borderId="0" applyNumberFormat="0" applyBorder="0" applyAlignment="0" applyProtection="0"/>
    <xf numFmtId="0" fontId="61" fillId="0" borderId="0" applyNumberFormat="0" applyFill="0" applyBorder="0" applyAlignment="0" applyProtection="0"/>
    <xf numFmtId="0" fontId="0" fillId="49" borderId="29" applyNumberFormat="0" applyFont="0" applyAlignment="0" applyProtection="0"/>
    <xf numFmtId="9" fontId="1" fillId="0" borderId="0" applyFill="0" applyBorder="0" applyAlignment="0" applyProtection="0"/>
    <xf numFmtId="0" fontId="62" fillId="0" borderId="30" applyNumberFormat="0" applyFill="0" applyAlignment="0" applyProtection="0"/>
    <xf numFmtId="0" fontId="63"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64" fillId="50" borderId="0" applyNumberFormat="0" applyBorder="0" applyAlignment="0" applyProtection="0"/>
  </cellStyleXfs>
  <cellXfs count="74">
    <xf numFmtId="0" fontId="0" fillId="0" borderId="0" xfId="0" applyAlignment="1">
      <alignment/>
    </xf>
    <xf numFmtId="0" fontId="25" fillId="0" borderId="0" xfId="0" applyFont="1" applyFill="1" applyAlignment="1">
      <alignment horizontal="left"/>
    </xf>
    <xf numFmtId="0" fontId="25" fillId="0" borderId="0" xfId="0" applyFont="1" applyFill="1" applyAlignment="1">
      <alignment horizontal="center"/>
    </xf>
    <xf numFmtId="0" fontId="25" fillId="0" borderId="0" xfId="0" applyFont="1" applyFill="1" applyAlignment="1">
      <alignment horizontal="right"/>
    </xf>
    <xf numFmtId="0" fontId="0" fillId="0" borderId="0" xfId="0" applyFill="1" applyAlignment="1">
      <alignment horizontal="left"/>
    </xf>
    <xf numFmtId="0" fontId="26" fillId="0" borderId="0" xfId="0" applyFont="1" applyFill="1" applyBorder="1" applyAlignment="1">
      <alignment wrapText="1"/>
    </xf>
    <xf numFmtId="0" fontId="0" fillId="0" borderId="0" xfId="0" applyFill="1" applyAlignment="1">
      <alignment wrapText="1"/>
    </xf>
    <xf numFmtId="0" fontId="28" fillId="0" borderId="0" xfId="0" applyFont="1" applyFill="1" applyAlignment="1">
      <alignment/>
    </xf>
    <xf numFmtId="0" fontId="28" fillId="0" borderId="0" xfId="0" applyFont="1" applyFill="1" applyAlignment="1">
      <alignment horizontal="right"/>
    </xf>
    <xf numFmtId="49" fontId="29" fillId="0" borderId="11" xfId="0" applyNumberFormat="1" applyFont="1" applyFill="1" applyBorder="1" applyAlignment="1">
      <alignment horizontal="center" vertical="center" wrapText="1"/>
    </xf>
    <xf numFmtId="49" fontId="30" fillId="0" borderId="11" xfId="0" applyNumberFormat="1"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1" fillId="0" borderId="0" xfId="0" applyFont="1" applyFill="1" applyAlignment="1">
      <alignment horizontal="left"/>
    </xf>
    <xf numFmtId="0" fontId="29" fillId="0" borderId="11" xfId="0" applyFont="1" applyFill="1" applyBorder="1" applyAlignment="1">
      <alignment horizontal="left" wrapText="1"/>
    </xf>
    <xf numFmtId="0" fontId="29" fillId="0" borderId="11" xfId="0" applyFont="1" applyFill="1" applyBorder="1" applyAlignment="1">
      <alignment horizontal="center" wrapText="1"/>
    </xf>
    <xf numFmtId="4" fontId="29" fillId="0" borderId="31" xfId="0" applyNumberFormat="1" applyFont="1" applyFill="1" applyBorder="1" applyAlignment="1">
      <alignment horizontal="right" wrapText="1"/>
    </xf>
    <xf numFmtId="4" fontId="29" fillId="0" borderId="11" xfId="0" applyNumberFormat="1" applyFont="1" applyFill="1" applyBorder="1" applyAlignment="1">
      <alignment horizontal="right" wrapText="1"/>
    </xf>
    <xf numFmtId="0" fontId="28" fillId="0" borderId="11" xfId="0" applyFont="1" applyFill="1" applyBorder="1" applyAlignment="1">
      <alignment wrapText="1"/>
    </xf>
    <xf numFmtId="0" fontId="28" fillId="0" borderId="11" xfId="0" applyFont="1" applyFill="1" applyBorder="1" applyAlignment="1">
      <alignment horizontal="center" wrapText="1"/>
    </xf>
    <xf numFmtId="4" fontId="28" fillId="0" borderId="31" xfId="0" applyNumberFormat="1" applyFont="1" applyFill="1" applyBorder="1" applyAlignment="1">
      <alignment horizontal="right" wrapText="1"/>
    </xf>
    <xf numFmtId="4" fontId="28" fillId="0" borderId="11" xfId="0" applyNumberFormat="1" applyFont="1" applyFill="1" applyBorder="1" applyAlignment="1">
      <alignment horizontal="right" wrapText="1"/>
    </xf>
    <xf numFmtId="0" fontId="31" fillId="0" borderId="0" xfId="0" applyFont="1" applyFill="1" applyAlignment="1">
      <alignment horizontal="right"/>
    </xf>
    <xf numFmtId="4" fontId="28" fillId="0" borderId="11" xfId="0" applyNumberFormat="1" applyFont="1" applyFill="1" applyBorder="1" applyAlignment="1">
      <alignment wrapText="1"/>
    </xf>
    <xf numFmtId="4" fontId="28" fillId="0" borderId="11" xfId="0" applyNumberFormat="1" applyFont="1" applyFill="1" applyBorder="1" applyAlignment="1">
      <alignment/>
    </xf>
    <xf numFmtId="0" fontId="28" fillId="0" borderId="11" xfId="0" applyFont="1" applyFill="1" applyBorder="1" applyAlignment="1">
      <alignment horizontal="left" wrapText="1"/>
    </xf>
    <xf numFmtId="4" fontId="28" fillId="0" borderId="31" xfId="0" applyNumberFormat="1" applyFont="1" applyFill="1" applyBorder="1" applyAlignment="1">
      <alignment wrapText="1"/>
    </xf>
    <xf numFmtId="4" fontId="28" fillId="0" borderId="11" xfId="0" applyNumberFormat="1" applyFont="1" applyFill="1" applyBorder="1" applyAlignment="1">
      <alignment horizontal="right"/>
    </xf>
    <xf numFmtId="0" fontId="28" fillId="0" borderId="11" xfId="0" applyNumberFormat="1" applyFont="1" applyFill="1" applyBorder="1" applyAlignment="1">
      <alignment horizontal="left" wrapText="1"/>
    </xf>
    <xf numFmtId="0" fontId="32" fillId="0" borderId="11" xfId="0" applyFont="1" applyFill="1" applyBorder="1" applyAlignment="1">
      <alignment horizontal="left" wrapText="1"/>
    </xf>
    <xf numFmtId="0" fontId="0" fillId="0" borderId="0" xfId="0" applyFont="1" applyFill="1" applyAlignment="1">
      <alignment horizontal="left"/>
    </xf>
    <xf numFmtId="0" fontId="28" fillId="0" borderId="21" xfId="0" applyFont="1" applyFill="1" applyBorder="1" applyAlignment="1">
      <alignment horizontal="left" wrapText="1"/>
    </xf>
    <xf numFmtId="0" fontId="28" fillId="0" borderId="21" xfId="0" applyFont="1" applyFill="1" applyBorder="1" applyAlignment="1">
      <alignment horizontal="center" wrapText="1"/>
    </xf>
    <xf numFmtId="4" fontId="28" fillId="0" borderId="32" xfId="0" applyNumberFormat="1" applyFont="1" applyFill="1" applyBorder="1" applyAlignment="1">
      <alignment wrapText="1"/>
    </xf>
    <xf numFmtId="0" fontId="28" fillId="0" borderId="33" xfId="0" applyFont="1" applyFill="1" applyBorder="1" applyAlignment="1">
      <alignment horizontal="left" wrapText="1"/>
    </xf>
    <xf numFmtId="0" fontId="28" fillId="0" borderId="33" xfId="0" applyFont="1" applyFill="1" applyBorder="1" applyAlignment="1">
      <alignment horizontal="center" wrapText="1"/>
    </xf>
    <xf numFmtId="4" fontId="28" fillId="0" borderId="34" xfId="0" applyNumberFormat="1" applyFont="1" applyFill="1" applyBorder="1" applyAlignment="1">
      <alignment wrapText="1"/>
    </xf>
    <xf numFmtId="0" fontId="33" fillId="0" borderId="0" xfId="0" applyFont="1" applyFill="1" applyAlignment="1">
      <alignment horizontal="left"/>
    </xf>
    <xf numFmtId="49" fontId="28" fillId="0" borderId="11" xfId="0" applyNumberFormat="1" applyFont="1" applyFill="1" applyBorder="1" applyAlignment="1">
      <alignment horizontal="left" wrapText="1"/>
    </xf>
    <xf numFmtId="49" fontId="28" fillId="0" borderId="11" xfId="0" applyNumberFormat="1" applyFont="1" applyFill="1" applyBorder="1" applyAlignment="1">
      <alignment horizontal="center" wrapText="1"/>
    </xf>
    <xf numFmtId="4" fontId="32" fillId="0" borderId="31" xfId="99" applyNumberFormat="1" applyFont="1" applyFill="1" applyBorder="1" applyProtection="1">
      <alignment horizontal="right" vertical="top" shrinkToFit="1"/>
      <protection locked="0"/>
    </xf>
    <xf numFmtId="49" fontId="30" fillId="0" borderId="11" xfId="0" applyNumberFormat="1" applyFont="1" applyFill="1" applyBorder="1" applyAlignment="1">
      <alignment horizontal="center" wrapText="1"/>
    </xf>
    <xf numFmtId="0" fontId="32" fillId="0" borderId="11" xfId="130" applyFont="1" applyFill="1" applyBorder="1" applyAlignment="1">
      <alignment vertical="top" wrapText="1"/>
      <protection/>
    </xf>
    <xf numFmtId="4" fontId="31" fillId="0" borderId="0" xfId="0" applyNumberFormat="1" applyFont="1" applyFill="1" applyAlignment="1">
      <alignment horizontal="left"/>
    </xf>
    <xf numFmtId="0" fontId="34" fillId="0" borderId="0" xfId="0" applyFont="1" applyFill="1" applyAlignment="1">
      <alignment horizontal="left"/>
    </xf>
    <xf numFmtId="0" fontId="28" fillId="0" borderId="11" xfId="0" applyFont="1" applyFill="1" applyBorder="1" applyAlignment="1">
      <alignment horizontal="justify" wrapText="1"/>
    </xf>
    <xf numFmtId="0" fontId="35" fillId="0" borderId="0" xfId="0" applyFont="1" applyFill="1" applyAlignment="1">
      <alignment horizontal="left"/>
    </xf>
    <xf numFmtId="49" fontId="29" fillId="0" borderId="11" xfId="0" applyNumberFormat="1" applyFont="1" applyFill="1" applyBorder="1" applyAlignment="1">
      <alignment horizontal="center" wrapText="1"/>
    </xf>
    <xf numFmtId="4" fontId="0" fillId="0" borderId="0" xfId="0" applyNumberFormat="1" applyFont="1" applyFill="1" applyAlignment="1">
      <alignment horizontal="left"/>
    </xf>
    <xf numFmtId="0" fontId="28" fillId="0" borderId="31" xfId="0" applyFont="1" applyFill="1" applyBorder="1" applyAlignment="1">
      <alignment horizontal="center" wrapText="1"/>
    </xf>
    <xf numFmtId="0" fontId="32" fillId="0" borderId="11" xfId="0" applyNumberFormat="1" applyFont="1" applyFill="1" applyBorder="1" applyAlignment="1">
      <alignment horizontal="left" wrapText="1"/>
    </xf>
    <xf numFmtId="0" fontId="36" fillId="0" borderId="11" xfId="0" applyFont="1" applyFill="1" applyBorder="1" applyAlignment="1">
      <alignment horizontal="left" wrapText="1"/>
    </xf>
    <xf numFmtId="4" fontId="29" fillId="0" borderId="32" xfId="0" applyNumberFormat="1" applyFont="1" applyFill="1" applyBorder="1" applyAlignment="1">
      <alignment horizontal="right" wrapText="1"/>
    </xf>
    <xf numFmtId="0" fontId="29" fillId="0" borderId="31" xfId="0" applyFont="1" applyFill="1" applyBorder="1" applyAlignment="1">
      <alignment horizontal="center" wrapText="1"/>
    </xf>
    <xf numFmtId="4" fontId="28" fillId="0" borderId="34" xfId="0" applyNumberFormat="1" applyFont="1" applyFill="1" applyBorder="1" applyAlignment="1">
      <alignment horizontal="right" wrapText="1"/>
    </xf>
    <xf numFmtId="4" fontId="28" fillId="0" borderId="32" xfId="0" applyNumberFormat="1" applyFont="1" applyFill="1" applyBorder="1" applyAlignment="1">
      <alignment horizontal="right" wrapText="1"/>
    </xf>
    <xf numFmtId="0" fontId="29" fillId="0" borderId="11" xfId="0" applyFont="1" applyFill="1" applyBorder="1" applyAlignment="1">
      <alignment horizontal="justify" wrapText="1"/>
    </xf>
    <xf numFmtId="0" fontId="37"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32" fillId="0" borderId="11" xfId="131" applyFont="1" applyFill="1" applyBorder="1" applyAlignment="1">
      <alignment horizontal="left" vertical="top" wrapText="1"/>
      <protection/>
    </xf>
    <xf numFmtId="0" fontId="32" fillId="0" borderId="11" xfId="98" applyNumberFormat="1" applyFont="1" applyFill="1" applyAlignment="1" applyProtection="1">
      <alignment wrapText="1"/>
      <protection/>
    </xf>
    <xf numFmtId="49" fontId="32" fillId="0" borderId="11" xfId="89" applyFont="1" applyFill="1" applyAlignment="1" applyProtection="1">
      <alignment horizontal="center" shrinkToFit="1"/>
      <protection/>
    </xf>
    <xf numFmtId="4" fontId="28" fillId="0" borderId="35" xfId="0" applyNumberFormat="1" applyFont="1" applyFill="1" applyBorder="1" applyAlignment="1">
      <alignment horizontal="right" wrapText="1"/>
    </xf>
    <xf numFmtId="4" fontId="28" fillId="0" borderId="21" xfId="0" applyNumberFormat="1" applyFont="1" applyFill="1" applyBorder="1" applyAlignment="1">
      <alignment wrapText="1"/>
    </xf>
    <xf numFmtId="4" fontId="28" fillId="0" borderId="21" xfId="0" applyNumberFormat="1" applyFont="1" applyFill="1" applyBorder="1" applyAlignment="1">
      <alignment horizontal="right" wrapText="1"/>
    </xf>
    <xf numFmtId="4" fontId="28" fillId="0" borderId="21" xfId="0" applyNumberFormat="1" applyFont="1" applyFill="1" applyBorder="1" applyAlignment="1">
      <alignment/>
    </xf>
    <xf numFmtId="0" fontId="25" fillId="0" borderId="11" xfId="0" applyFont="1" applyFill="1" applyBorder="1" applyAlignment="1">
      <alignment horizontal="center"/>
    </xf>
    <xf numFmtId="0" fontId="40" fillId="0" borderId="33" xfId="0" applyFont="1" applyFill="1" applyBorder="1" applyAlignment="1">
      <alignment/>
    </xf>
    <xf numFmtId="0" fontId="37" fillId="0" borderId="33" xfId="0" applyFont="1" applyFill="1" applyBorder="1" applyAlignment="1">
      <alignment/>
    </xf>
    <xf numFmtId="0" fontId="37" fillId="0" borderId="33" xfId="0" applyFont="1" applyFill="1" applyBorder="1" applyAlignment="1">
      <alignment/>
    </xf>
    <xf numFmtId="4" fontId="40" fillId="0" borderId="34" xfId="0" applyNumberFormat="1" applyFont="1" applyFill="1" applyBorder="1" applyAlignment="1">
      <alignment horizontal="right"/>
    </xf>
    <xf numFmtId="4" fontId="29" fillId="0" borderId="33" xfId="0" applyNumberFormat="1" applyFont="1" applyFill="1" applyBorder="1" applyAlignment="1">
      <alignment horizontal="right" wrapText="1"/>
    </xf>
    <xf numFmtId="0" fontId="26" fillId="0" borderId="0" xfId="0" applyFont="1" applyFill="1" applyBorder="1" applyAlignment="1">
      <alignment horizontal="left" wrapText="1"/>
    </xf>
    <xf numFmtId="0" fontId="27" fillId="0" borderId="0" xfId="0" applyFont="1" applyFill="1" applyBorder="1" applyAlignment="1">
      <alignment horizontal="center" wrapText="1"/>
    </xf>
  </cellXfs>
  <cellStyles count="127">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1" xfId="57"/>
    <cellStyle name="br" xfId="58"/>
    <cellStyle name="Calculation" xfId="59"/>
    <cellStyle name="Check Cell" xfId="60"/>
    <cellStyle name="col" xfId="61"/>
    <cellStyle name="Explanatory Text" xfId="62"/>
    <cellStyle name="Good 1" xfId="63"/>
    <cellStyle name="Heading 1 1" xfId="64"/>
    <cellStyle name="Heading 2 1" xfId="65"/>
    <cellStyle name="Heading 3" xfId="66"/>
    <cellStyle name="Heading 4" xfId="67"/>
    <cellStyle name="Input" xfId="68"/>
    <cellStyle name="Linked Cell" xfId="69"/>
    <cellStyle name="Neutral 1" xfId="70"/>
    <cellStyle name="Note 1" xfId="71"/>
    <cellStyle name="Output" xfId="72"/>
    <cellStyle name="style0" xfId="73"/>
    <cellStyle name="td" xfId="74"/>
    <cellStyle name="Title" xfId="75"/>
    <cellStyle name="Total" xfId="76"/>
    <cellStyle name="tr" xfId="77"/>
    <cellStyle name="Warning Text" xfId="78"/>
    <cellStyle name="xl21" xfId="79"/>
    <cellStyle name="xl22" xfId="80"/>
    <cellStyle name="xl23" xfId="81"/>
    <cellStyle name="xl24" xfId="82"/>
    <cellStyle name="xl25" xfId="83"/>
    <cellStyle name="xl26" xfId="84"/>
    <cellStyle name="xl27" xfId="85"/>
    <cellStyle name="xl28" xfId="86"/>
    <cellStyle name="xl29" xfId="87"/>
    <cellStyle name="xl30" xfId="88"/>
    <cellStyle name="xl31" xfId="89"/>
    <cellStyle name="xl32" xfId="90"/>
    <cellStyle name="xl33" xfId="91"/>
    <cellStyle name="xl34" xfId="92"/>
    <cellStyle name="xl35" xfId="93"/>
    <cellStyle name="xl36" xfId="94"/>
    <cellStyle name="xl37" xfId="95"/>
    <cellStyle name="xl38" xfId="96"/>
    <cellStyle name="xl39" xfId="97"/>
    <cellStyle name="xl40" xfId="98"/>
    <cellStyle name="xl41" xfId="99"/>
    <cellStyle name="xl42" xfId="100"/>
    <cellStyle name="xl43" xfId="101"/>
    <cellStyle name="xl44" xfId="102"/>
    <cellStyle name="xl45" xfId="103"/>
    <cellStyle name="xl46" xfId="104"/>
    <cellStyle name="xl50" xfId="105"/>
    <cellStyle name="xl51" xfId="106"/>
    <cellStyle name="xl52" xfId="107"/>
    <cellStyle name="xl56" xfId="108"/>
    <cellStyle name="xl60" xfId="109"/>
    <cellStyle name="xl64" xfId="110"/>
    <cellStyle name="Акцент1" xfId="111"/>
    <cellStyle name="Акцент2" xfId="112"/>
    <cellStyle name="Акцент3" xfId="113"/>
    <cellStyle name="Акцент4" xfId="114"/>
    <cellStyle name="Акцент5" xfId="115"/>
    <cellStyle name="Акцент6" xfId="116"/>
    <cellStyle name="Ввод " xfId="117"/>
    <cellStyle name="Вывод" xfId="118"/>
    <cellStyle name="Вычисление" xfId="119"/>
    <cellStyle name="Currency" xfId="120"/>
    <cellStyle name="Currency [0]" xfId="121"/>
    <cellStyle name="Заголовок 1" xfId="122"/>
    <cellStyle name="Заголовок 2" xfId="123"/>
    <cellStyle name="Заголовок 3" xfId="124"/>
    <cellStyle name="Заголовок 4" xfId="125"/>
    <cellStyle name="Итог" xfId="126"/>
    <cellStyle name="Контрольная ячейка" xfId="127"/>
    <cellStyle name="Название" xfId="128"/>
    <cellStyle name="Нейтральный" xfId="129"/>
    <cellStyle name="Обычный_Лист1" xfId="130"/>
    <cellStyle name="Обычный_Лист1_1" xfId="131"/>
    <cellStyle name="Плохой" xfId="132"/>
    <cellStyle name="Пояснение" xfId="133"/>
    <cellStyle name="Примечание" xfId="134"/>
    <cellStyle name="Percent" xfId="135"/>
    <cellStyle name="Связанная ячейка" xfId="136"/>
    <cellStyle name="Текст предупреждения" xfId="137"/>
    <cellStyle name="Comma" xfId="138"/>
    <cellStyle name="Comma [0]" xfId="139"/>
    <cellStyle name="Хороший" xfId="1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U901"/>
  <sheetViews>
    <sheetView tabSelected="1" view="pageBreakPreview" zoomScale="85" zoomScaleSheetLayoutView="85" zoomScalePageLayoutView="0" workbookViewId="0" topLeftCell="A1">
      <selection activeCell="D2" sqref="D2:F2"/>
    </sheetView>
  </sheetViews>
  <sheetFormatPr defaultColWidth="8.75390625" defaultRowHeight="12.75"/>
  <cols>
    <col min="1" max="1" width="57.00390625" style="1" customWidth="1"/>
    <col min="2" max="2" width="20.25390625" style="2" customWidth="1"/>
    <col min="3" max="3" width="8.75390625" style="2" customWidth="1"/>
    <col min="4" max="4" width="22.75390625" style="3" customWidth="1"/>
    <col min="5" max="5" width="22.00390625" style="4" customWidth="1"/>
    <col min="6" max="6" width="21.00390625" style="4" customWidth="1"/>
    <col min="7" max="7" width="13.625" style="4" customWidth="1"/>
    <col min="8" max="16384" width="8.75390625" style="4" customWidth="1"/>
  </cols>
  <sheetData>
    <row r="1" spans="2:6" ht="52.5" customHeight="1">
      <c r="B1" s="5"/>
      <c r="C1" s="5"/>
      <c r="D1" s="72" t="s">
        <v>0</v>
      </c>
      <c r="E1" s="72"/>
      <c r="F1" s="72"/>
    </row>
    <row r="2" spans="2:6" ht="16.5" customHeight="1">
      <c r="B2" s="5"/>
      <c r="C2" s="6"/>
      <c r="D2" s="72" t="s">
        <v>616</v>
      </c>
      <c r="E2" s="72"/>
      <c r="F2" s="72"/>
    </row>
    <row r="3" ht="15">
      <c r="D3" s="2"/>
    </row>
    <row r="4" spans="1:6" ht="35.25" customHeight="1">
      <c r="A4" s="73" t="s">
        <v>614</v>
      </c>
      <c r="B4" s="73"/>
      <c r="C4" s="73"/>
      <c r="D4" s="73"/>
      <c r="E4" s="73"/>
      <c r="F4" s="73"/>
    </row>
    <row r="5" spans="1:6" ht="18.75" customHeight="1">
      <c r="A5" s="73" t="s">
        <v>615</v>
      </c>
      <c r="B5" s="73"/>
      <c r="C5" s="73"/>
      <c r="D5" s="73"/>
      <c r="E5" s="73"/>
      <c r="F5" s="73"/>
    </row>
    <row r="6" spans="1:6" ht="15.75">
      <c r="A6" s="7"/>
      <c r="B6" s="7"/>
      <c r="C6" s="7"/>
      <c r="D6" s="8"/>
      <c r="F6" s="8" t="s">
        <v>1</v>
      </c>
    </row>
    <row r="7" spans="1:6" s="12" customFormat="1" ht="42.75">
      <c r="A7" s="9" t="s">
        <v>2</v>
      </c>
      <c r="B7" s="10" t="s">
        <v>3</v>
      </c>
      <c r="C7" s="10" t="s">
        <v>4</v>
      </c>
      <c r="D7" s="11" t="s">
        <v>5</v>
      </c>
      <c r="E7" s="11" t="s">
        <v>6</v>
      </c>
      <c r="F7" s="11" t="s">
        <v>7</v>
      </c>
    </row>
    <row r="8" spans="1:6" s="12" customFormat="1" ht="31.5">
      <c r="A8" s="13" t="s">
        <v>8</v>
      </c>
      <c r="B8" s="14" t="s">
        <v>9</v>
      </c>
      <c r="C8" s="10"/>
      <c r="D8" s="15">
        <f>SUM(D9,D49,D86,D94,D105,D129,D136)</f>
        <v>3917837970.65</v>
      </c>
      <c r="E8" s="16">
        <f>SUM(E9,E49,E86,E94,E105,E129,E136)</f>
        <v>-835621286.3199999</v>
      </c>
      <c r="F8" s="16">
        <f aca="true" t="shared" si="0" ref="F8:F71">SUM(D8:E8)</f>
        <v>3082216684.33</v>
      </c>
    </row>
    <row r="9" spans="1:9" s="12" customFormat="1" ht="31.5">
      <c r="A9" s="17" t="s">
        <v>10</v>
      </c>
      <c r="B9" s="18" t="s">
        <v>11</v>
      </c>
      <c r="C9" s="18"/>
      <c r="D9" s="19">
        <f>SUM(D10,D16,D19,D22,D25,D30,D37,D40,D46,D43)</f>
        <v>884965744.01</v>
      </c>
      <c r="E9" s="20">
        <f>SUM(E10,E16,E19,E22,E25,E30,E37,E40,E46,E43)</f>
        <v>-165082246.29000002</v>
      </c>
      <c r="F9" s="20">
        <f t="shared" si="0"/>
        <v>719883497.72</v>
      </c>
      <c r="I9" s="21"/>
    </row>
    <row r="10" spans="1:6" s="12" customFormat="1" ht="47.25">
      <c r="A10" s="17" t="s">
        <v>12</v>
      </c>
      <c r="B10" s="18" t="s">
        <v>13</v>
      </c>
      <c r="C10" s="18"/>
      <c r="D10" s="22">
        <f>SUM(D11,D14)</f>
        <v>329646380</v>
      </c>
      <c r="E10" s="22">
        <f>SUM(E11,E14)</f>
        <v>3443023</v>
      </c>
      <c r="F10" s="23">
        <f t="shared" si="0"/>
        <v>333089403</v>
      </c>
    </row>
    <row r="11" spans="1:6" s="12" customFormat="1" ht="31.5">
      <c r="A11" s="24" t="s">
        <v>14</v>
      </c>
      <c r="B11" s="18" t="s">
        <v>13</v>
      </c>
      <c r="C11" s="18">
        <v>600</v>
      </c>
      <c r="D11" s="22">
        <f>SUM(D12:D13)</f>
        <v>328620810</v>
      </c>
      <c r="E11" s="22">
        <f>SUM(E12:E13)</f>
        <v>1779063</v>
      </c>
      <c r="F11" s="23">
        <f t="shared" si="0"/>
        <v>330399873</v>
      </c>
    </row>
    <row r="12" spans="1:6" s="12" customFormat="1" ht="15.75">
      <c r="A12" s="24" t="s">
        <v>15</v>
      </c>
      <c r="B12" s="18" t="s">
        <v>13</v>
      </c>
      <c r="C12" s="18">
        <v>610</v>
      </c>
      <c r="D12" s="20">
        <v>325938820</v>
      </c>
      <c r="E12" s="20">
        <f>28008+3404591</f>
        <v>3432599</v>
      </c>
      <c r="F12" s="23">
        <f t="shared" si="0"/>
        <v>329371419</v>
      </c>
    </row>
    <row r="13" spans="1:6" s="12" customFormat="1" ht="47.25">
      <c r="A13" s="24" t="s">
        <v>16</v>
      </c>
      <c r="B13" s="18" t="s">
        <v>13</v>
      </c>
      <c r="C13" s="18">
        <v>630</v>
      </c>
      <c r="D13" s="20">
        <v>2681990</v>
      </c>
      <c r="E13" s="20">
        <f>-1664167+10631</f>
        <v>-1653536</v>
      </c>
      <c r="F13" s="23">
        <f t="shared" si="0"/>
        <v>1028454</v>
      </c>
    </row>
    <row r="14" spans="1:6" s="12" customFormat="1" ht="15.75">
      <c r="A14" s="24" t="s">
        <v>17</v>
      </c>
      <c r="B14" s="18" t="s">
        <v>13</v>
      </c>
      <c r="C14" s="18">
        <v>800</v>
      </c>
      <c r="D14" s="20">
        <f>D15</f>
        <v>1025570</v>
      </c>
      <c r="E14" s="20">
        <f>E15</f>
        <v>1663960</v>
      </c>
      <c r="F14" s="23">
        <f t="shared" si="0"/>
        <v>2689530</v>
      </c>
    </row>
    <row r="15" spans="1:6" s="12" customFormat="1" ht="63">
      <c r="A15" s="24" t="s">
        <v>18</v>
      </c>
      <c r="B15" s="18" t="s">
        <v>13</v>
      </c>
      <c r="C15" s="18">
        <v>810</v>
      </c>
      <c r="D15" s="20">
        <v>1025570</v>
      </c>
      <c r="E15" s="20">
        <f>1636159+27801</f>
        <v>1663960</v>
      </c>
      <c r="F15" s="23">
        <f t="shared" si="0"/>
        <v>2689530</v>
      </c>
    </row>
    <row r="16" spans="1:6" s="12" customFormat="1" ht="47.25">
      <c r="A16" s="17" t="s">
        <v>19</v>
      </c>
      <c r="B16" s="18" t="s">
        <v>20</v>
      </c>
      <c r="C16" s="18"/>
      <c r="D16" s="19">
        <f>D17</f>
        <v>111738652</v>
      </c>
      <c r="E16" s="20">
        <f>E17</f>
        <v>0</v>
      </c>
      <c r="F16" s="20">
        <f t="shared" si="0"/>
        <v>111738652</v>
      </c>
    </row>
    <row r="17" spans="1:6" s="12" customFormat="1" ht="31.5">
      <c r="A17" s="24" t="s">
        <v>14</v>
      </c>
      <c r="B17" s="18" t="s">
        <v>20</v>
      </c>
      <c r="C17" s="18">
        <v>600</v>
      </c>
      <c r="D17" s="19">
        <f>D18</f>
        <v>111738652</v>
      </c>
      <c r="E17" s="20">
        <f>E18</f>
        <v>0</v>
      </c>
      <c r="F17" s="20">
        <f t="shared" si="0"/>
        <v>111738652</v>
      </c>
    </row>
    <row r="18" spans="1:6" s="12" customFormat="1" ht="15.75">
      <c r="A18" s="24" t="s">
        <v>15</v>
      </c>
      <c r="B18" s="18" t="s">
        <v>20</v>
      </c>
      <c r="C18" s="18">
        <v>610</v>
      </c>
      <c r="D18" s="25">
        <v>111738652</v>
      </c>
      <c r="E18" s="26">
        <v>0</v>
      </c>
      <c r="F18" s="20">
        <f t="shared" si="0"/>
        <v>111738652</v>
      </c>
    </row>
    <row r="19" spans="1:6" s="12" customFormat="1" ht="78.75">
      <c r="A19" s="27" t="s">
        <v>21</v>
      </c>
      <c r="B19" s="18" t="s">
        <v>22</v>
      </c>
      <c r="C19" s="18"/>
      <c r="D19" s="25">
        <f>D20</f>
        <v>125995342</v>
      </c>
      <c r="E19" s="22">
        <f>E20</f>
        <v>0</v>
      </c>
      <c r="F19" s="20">
        <f t="shared" si="0"/>
        <v>125995342</v>
      </c>
    </row>
    <row r="20" spans="1:6" s="12" customFormat="1" ht="31.5">
      <c r="A20" s="24" t="s">
        <v>14</v>
      </c>
      <c r="B20" s="18" t="s">
        <v>22</v>
      </c>
      <c r="C20" s="18">
        <v>600</v>
      </c>
      <c r="D20" s="25">
        <f>D21</f>
        <v>125995342</v>
      </c>
      <c r="E20" s="22">
        <f>E21</f>
        <v>0</v>
      </c>
      <c r="F20" s="20">
        <f t="shared" si="0"/>
        <v>125995342</v>
      </c>
    </row>
    <row r="21" spans="1:6" s="12" customFormat="1" ht="15.75">
      <c r="A21" s="24" t="s">
        <v>15</v>
      </c>
      <c r="B21" s="18" t="s">
        <v>22</v>
      </c>
      <c r="C21" s="18">
        <v>610</v>
      </c>
      <c r="D21" s="25">
        <v>125995342</v>
      </c>
      <c r="E21" s="26">
        <v>0</v>
      </c>
      <c r="F21" s="20">
        <f t="shared" si="0"/>
        <v>125995342</v>
      </c>
    </row>
    <row r="22" spans="1:6" s="12" customFormat="1" ht="31.5">
      <c r="A22" s="17" t="s">
        <v>23</v>
      </c>
      <c r="B22" s="18" t="s">
        <v>24</v>
      </c>
      <c r="C22" s="18"/>
      <c r="D22" s="25">
        <f>D23</f>
        <v>15000000</v>
      </c>
      <c r="E22" s="22">
        <f>E23</f>
        <v>5647000</v>
      </c>
      <c r="F22" s="20">
        <f t="shared" si="0"/>
        <v>20647000</v>
      </c>
    </row>
    <row r="23" spans="1:6" s="12" customFormat="1" ht="31.5">
      <c r="A23" s="24" t="s">
        <v>14</v>
      </c>
      <c r="B23" s="18" t="s">
        <v>24</v>
      </c>
      <c r="C23" s="18">
        <v>600</v>
      </c>
      <c r="D23" s="25">
        <f>D24</f>
        <v>15000000</v>
      </c>
      <c r="E23" s="22">
        <f>E24</f>
        <v>5647000</v>
      </c>
      <c r="F23" s="20">
        <f t="shared" si="0"/>
        <v>20647000</v>
      </c>
    </row>
    <row r="24" spans="1:6" s="12" customFormat="1" ht="15.75">
      <c r="A24" s="24" t="s">
        <v>15</v>
      </c>
      <c r="B24" s="18" t="s">
        <v>24</v>
      </c>
      <c r="C24" s="18">
        <v>610</v>
      </c>
      <c r="D24" s="25">
        <v>15000000</v>
      </c>
      <c r="E24" s="26">
        <f>5500000+147000</f>
        <v>5647000</v>
      </c>
      <c r="F24" s="20">
        <f t="shared" si="0"/>
        <v>20647000</v>
      </c>
    </row>
    <row r="25" spans="1:6" s="12" customFormat="1" ht="31.5">
      <c r="A25" s="17" t="s">
        <v>25</v>
      </c>
      <c r="B25" s="18" t="s">
        <v>26</v>
      </c>
      <c r="C25" s="18"/>
      <c r="D25" s="19">
        <f>D28+D26</f>
        <v>2000000</v>
      </c>
      <c r="E25" s="20">
        <f>E28+E26</f>
        <v>0</v>
      </c>
      <c r="F25" s="20">
        <f t="shared" si="0"/>
        <v>2000000</v>
      </c>
    </row>
    <row r="26" spans="1:6" s="12" customFormat="1" ht="31.5">
      <c r="A26" s="28" t="s">
        <v>27</v>
      </c>
      <c r="B26" s="18" t="s">
        <v>26</v>
      </c>
      <c r="C26" s="18">
        <v>200</v>
      </c>
      <c r="D26" s="19">
        <f>D27</f>
        <v>20000</v>
      </c>
      <c r="E26" s="20">
        <f>E27</f>
        <v>0</v>
      </c>
      <c r="F26" s="20">
        <f t="shared" si="0"/>
        <v>20000</v>
      </c>
    </row>
    <row r="27" spans="1:6" s="12" customFormat="1" ht="31.5">
      <c r="A27" s="28" t="s">
        <v>28</v>
      </c>
      <c r="B27" s="18" t="s">
        <v>26</v>
      </c>
      <c r="C27" s="18">
        <v>240</v>
      </c>
      <c r="D27" s="19">
        <v>20000</v>
      </c>
      <c r="E27" s="26">
        <v>0</v>
      </c>
      <c r="F27" s="20">
        <f t="shared" si="0"/>
        <v>20000</v>
      </c>
    </row>
    <row r="28" spans="1:6" s="12" customFormat="1" ht="15.75">
      <c r="A28" s="24" t="s">
        <v>29</v>
      </c>
      <c r="B28" s="18" t="s">
        <v>26</v>
      </c>
      <c r="C28" s="18">
        <v>300</v>
      </c>
      <c r="D28" s="19">
        <f>D29</f>
        <v>1980000</v>
      </c>
      <c r="E28" s="20">
        <f>E29</f>
        <v>0</v>
      </c>
      <c r="F28" s="20">
        <f t="shared" si="0"/>
        <v>1980000</v>
      </c>
    </row>
    <row r="29" spans="1:6" s="29" customFormat="1" ht="31.5">
      <c r="A29" s="24" t="s">
        <v>30</v>
      </c>
      <c r="B29" s="18" t="s">
        <v>26</v>
      </c>
      <c r="C29" s="18">
        <v>310</v>
      </c>
      <c r="D29" s="19">
        <v>1980000</v>
      </c>
      <c r="E29" s="26">
        <v>0</v>
      </c>
      <c r="F29" s="20">
        <f t="shared" si="0"/>
        <v>1980000</v>
      </c>
    </row>
    <row r="30" spans="1:6" s="12" customFormat="1" ht="31.5">
      <c r="A30" s="17" t="s">
        <v>31</v>
      </c>
      <c r="B30" s="18" t="s">
        <v>32</v>
      </c>
      <c r="C30" s="18"/>
      <c r="D30" s="25">
        <f>D31+D33+D35</f>
        <v>26454170</v>
      </c>
      <c r="E30" s="25">
        <f>E31+E33+E35</f>
        <v>-9004818.27</v>
      </c>
      <c r="F30" s="20">
        <f t="shared" si="0"/>
        <v>17449351.73</v>
      </c>
    </row>
    <row r="31" spans="1:6" s="12" customFormat="1" ht="31.5">
      <c r="A31" s="28" t="s">
        <v>27</v>
      </c>
      <c r="B31" s="18" t="s">
        <v>32</v>
      </c>
      <c r="C31" s="18">
        <v>200</v>
      </c>
      <c r="D31" s="25">
        <f>D32</f>
        <v>7500000</v>
      </c>
      <c r="E31" s="22">
        <f>E32</f>
        <v>-7500000</v>
      </c>
      <c r="F31" s="20">
        <f t="shared" si="0"/>
        <v>0</v>
      </c>
    </row>
    <row r="32" spans="1:6" s="12" customFormat="1" ht="31.5">
      <c r="A32" s="24" t="s">
        <v>28</v>
      </c>
      <c r="B32" s="18" t="s">
        <v>32</v>
      </c>
      <c r="C32" s="18">
        <v>240</v>
      </c>
      <c r="D32" s="25">
        <v>7500000</v>
      </c>
      <c r="E32" s="26">
        <f>-7500000</f>
        <v>-7500000</v>
      </c>
      <c r="F32" s="20">
        <f t="shared" si="0"/>
        <v>0</v>
      </c>
    </row>
    <row r="33" spans="1:6" s="12" customFormat="1" ht="31.5">
      <c r="A33" s="24" t="s">
        <v>33</v>
      </c>
      <c r="B33" s="18" t="s">
        <v>32</v>
      </c>
      <c r="C33" s="18">
        <v>400</v>
      </c>
      <c r="D33" s="25">
        <f>D34</f>
        <v>18954170</v>
      </c>
      <c r="E33" s="22">
        <f>E34</f>
        <v>-11143745.27</v>
      </c>
      <c r="F33" s="20">
        <f t="shared" si="0"/>
        <v>7810424.73</v>
      </c>
    </row>
    <row r="34" spans="1:6" s="12" customFormat="1" ht="15.75">
      <c r="A34" s="24" t="s">
        <v>34</v>
      </c>
      <c r="B34" s="18" t="s">
        <v>32</v>
      </c>
      <c r="C34" s="18">
        <v>410</v>
      </c>
      <c r="D34" s="25">
        <v>18954170</v>
      </c>
      <c r="E34" s="20">
        <f>-9106305-972107.07-935570.77+329428-459190.43</f>
        <v>-11143745.27</v>
      </c>
      <c r="F34" s="20">
        <f t="shared" si="0"/>
        <v>7810424.73</v>
      </c>
    </row>
    <row r="35" spans="1:6" s="12" customFormat="1" ht="31.5">
      <c r="A35" s="24" t="s">
        <v>14</v>
      </c>
      <c r="B35" s="18" t="s">
        <v>32</v>
      </c>
      <c r="C35" s="18">
        <v>600</v>
      </c>
      <c r="D35" s="25">
        <f>D36</f>
        <v>0</v>
      </c>
      <c r="E35" s="20">
        <f>E36</f>
        <v>9638927</v>
      </c>
      <c r="F35" s="20">
        <f t="shared" si="0"/>
        <v>9638927</v>
      </c>
    </row>
    <row r="36" spans="1:6" s="12" customFormat="1" ht="15.75">
      <c r="A36" s="24" t="s">
        <v>15</v>
      </c>
      <c r="B36" s="18" t="s">
        <v>32</v>
      </c>
      <c r="C36" s="18">
        <v>610</v>
      </c>
      <c r="D36" s="25">
        <v>0</v>
      </c>
      <c r="E36" s="20">
        <f>10960927-820000-502000</f>
        <v>9638927</v>
      </c>
      <c r="F36" s="20">
        <f t="shared" si="0"/>
        <v>9638927</v>
      </c>
    </row>
    <row r="37" spans="1:6" s="12" customFormat="1" ht="141.75">
      <c r="A37" s="24" t="s">
        <v>35</v>
      </c>
      <c r="B37" s="18" t="s">
        <v>36</v>
      </c>
      <c r="C37" s="18"/>
      <c r="D37" s="25">
        <f>D38</f>
        <v>29542755.56</v>
      </c>
      <c r="E37" s="22">
        <f>E38</f>
        <v>0</v>
      </c>
      <c r="F37" s="20">
        <f t="shared" si="0"/>
        <v>29542755.56</v>
      </c>
    </row>
    <row r="38" spans="1:6" s="12" customFormat="1" ht="31.5">
      <c r="A38" s="24" t="s">
        <v>33</v>
      </c>
      <c r="B38" s="18" t="s">
        <v>36</v>
      </c>
      <c r="C38" s="18">
        <v>400</v>
      </c>
      <c r="D38" s="25">
        <f>D39</f>
        <v>29542755.56</v>
      </c>
      <c r="E38" s="22">
        <f>E39</f>
        <v>0</v>
      </c>
      <c r="F38" s="20">
        <f t="shared" si="0"/>
        <v>29542755.56</v>
      </c>
    </row>
    <row r="39" spans="1:6" s="12" customFormat="1" ht="15.75">
      <c r="A39" s="24" t="s">
        <v>34</v>
      </c>
      <c r="B39" s="18" t="s">
        <v>36</v>
      </c>
      <c r="C39" s="18">
        <v>410</v>
      </c>
      <c r="D39" s="25">
        <v>29542755.56</v>
      </c>
      <c r="E39" s="26">
        <v>0</v>
      </c>
      <c r="F39" s="20">
        <f t="shared" si="0"/>
        <v>29542755.56</v>
      </c>
    </row>
    <row r="40" spans="1:6" s="12" customFormat="1" ht="126">
      <c r="A40" s="24" t="s">
        <v>37</v>
      </c>
      <c r="B40" s="18" t="s">
        <v>38</v>
      </c>
      <c r="C40" s="18"/>
      <c r="D40" s="25">
        <f>D41</f>
        <v>243217611.11</v>
      </c>
      <c r="E40" s="22">
        <f>E41</f>
        <v>-170000000</v>
      </c>
      <c r="F40" s="20">
        <f t="shared" si="0"/>
        <v>73217611.11000001</v>
      </c>
    </row>
    <row r="41" spans="1:6" s="12" customFormat="1" ht="31.5">
      <c r="A41" s="24" t="s">
        <v>33</v>
      </c>
      <c r="B41" s="18" t="s">
        <v>38</v>
      </c>
      <c r="C41" s="18">
        <v>400</v>
      </c>
      <c r="D41" s="25">
        <f>D42</f>
        <v>243217611.11</v>
      </c>
      <c r="E41" s="22">
        <f>E42</f>
        <v>-170000000</v>
      </c>
      <c r="F41" s="20">
        <f t="shared" si="0"/>
        <v>73217611.11000001</v>
      </c>
    </row>
    <row r="42" spans="1:6" s="12" customFormat="1" ht="15.75">
      <c r="A42" s="30" t="s">
        <v>34</v>
      </c>
      <c r="B42" s="31" t="s">
        <v>38</v>
      </c>
      <c r="C42" s="31">
        <v>410</v>
      </c>
      <c r="D42" s="32">
        <v>243217611.11</v>
      </c>
      <c r="E42" s="20">
        <f>-49928755.56-108064120-1320000-1484280-1900000-2464294.64-4838549.8</f>
        <v>-170000000</v>
      </c>
      <c r="F42" s="20">
        <f t="shared" si="0"/>
        <v>73217611.11000001</v>
      </c>
    </row>
    <row r="43" spans="1:6" s="12" customFormat="1" ht="126">
      <c r="A43" s="24" t="s">
        <v>39</v>
      </c>
      <c r="B43" s="18" t="s">
        <v>40</v>
      </c>
      <c r="C43" s="18"/>
      <c r="D43" s="22">
        <f>D44</f>
        <v>0</v>
      </c>
      <c r="E43" s="22">
        <f>E44</f>
        <v>4957170.200000002</v>
      </c>
      <c r="F43" s="20">
        <f t="shared" si="0"/>
        <v>4957170.200000002</v>
      </c>
    </row>
    <row r="44" spans="1:6" s="12" customFormat="1" ht="31.5">
      <c r="A44" s="24" t="s">
        <v>33</v>
      </c>
      <c r="B44" s="18" t="s">
        <v>40</v>
      </c>
      <c r="C44" s="18">
        <v>400</v>
      </c>
      <c r="D44" s="22">
        <f>D45</f>
        <v>0</v>
      </c>
      <c r="E44" s="22">
        <f>E45</f>
        <v>4957170.200000002</v>
      </c>
      <c r="F44" s="20">
        <f t="shared" si="0"/>
        <v>4957170.200000002</v>
      </c>
    </row>
    <row r="45" spans="1:6" s="12" customFormat="1" ht="15.75">
      <c r="A45" s="30" t="s">
        <v>34</v>
      </c>
      <c r="B45" s="18" t="s">
        <v>40</v>
      </c>
      <c r="C45" s="31">
        <v>410</v>
      </c>
      <c r="D45" s="22">
        <v>0</v>
      </c>
      <c r="E45" s="20">
        <f>49928755.56-44935880-35705.36</f>
        <v>4957170.200000002</v>
      </c>
      <c r="F45" s="20">
        <f t="shared" si="0"/>
        <v>4957170.200000002</v>
      </c>
    </row>
    <row r="46" spans="1:6" s="12" customFormat="1" ht="204.75">
      <c r="A46" s="24" t="s">
        <v>41</v>
      </c>
      <c r="B46" s="18" t="s">
        <v>42</v>
      </c>
      <c r="C46" s="18"/>
      <c r="D46" s="25">
        <f>D47</f>
        <v>1370833.34</v>
      </c>
      <c r="E46" s="22">
        <f>E47</f>
        <v>-124621.22</v>
      </c>
      <c r="F46" s="20">
        <f t="shared" si="0"/>
        <v>1246212.12</v>
      </c>
    </row>
    <row r="47" spans="1:6" s="12" customFormat="1" ht="31.5">
      <c r="A47" s="28" t="s">
        <v>27</v>
      </c>
      <c r="B47" s="18" t="s">
        <v>42</v>
      </c>
      <c r="C47" s="18">
        <v>200</v>
      </c>
      <c r="D47" s="25">
        <f>D48</f>
        <v>1370833.34</v>
      </c>
      <c r="E47" s="22">
        <f>E48</f>
        <v>-124621.22</v>
      </c>
      <c r="F47" s="20">
        <f t="shared" si="0"/>
        <v>1246212.12</v>
      </c>
    </row>
    <row r="48" spans="1:6" s="12" customFormat="1" ht="31.5">
      <c r="A48" s="28" t="s">
        <v>28</v>
      </c>
      <c r="B48" s="18" t="s">
        <v>42</v>
      </c>
      <c r="C48" s="18">
        <v>240</v>
      </c>
      <c r="D48" s="25">
        <f>1233750+137083.34</f>
        <v>1370833.34</v>
      </c>
      <c r="E48" s="26">
        <v>-124621.22</v>
      </c>
      <c r="F48" s="20">
        <f t="shared" si="0"/>
        <v>1246212.12</v>
      </c>
    </row>
    <row r="49" spans="1:6" s="12" customFormat="1" ht="31.5">
      <c r="A49" s="17" t="s">
        <v>43</v>
      </c>
      <c r="B49" s="18" t="s">
        <v>44</v>
      </c>
      <c r="C49" s="18"/>
      <c r="D49" s="19">
        <f>SUM(D50,D54,D57,D60,D66,D71,D74,D77,D80,D83,D63)</f>
        <v>2641480230.5699997</v>
      </c>
      <c r="E49" s="19">
        <f>SUM(E50,E54,E57,E60,E66,E71,E74,E77,E80,E83,E63)</f>
        <v>-716858122.77</v>
      </c>
      <c r="F49" s="20">
        <f t="shared" si="0"/>
        <v>1924622107.7999997</v>
      </c>
    </row>
    <row r="50" spans="1:6" s="12" customFormat="1" ht="31.5">
      <c r="A50" s="17" t="s">
        <v>45</v>
      </c>
      <c r="B50" s="18" t="s">
        <v>46</v>
      </c>
      <c r="C50" s="18"/>
      <c r="D50" s="19">
        <f>D51</f>
        <v>644854480</v>
      </c>
      <c r="E50" s="20">
        <f>E51</f>
        <v>25962875</v>
      </c>
      <c r="F50" s="20">
        <f t="shared" si="0"/>
        <v>670817355</v>
      </c>
    </row>
    <row r="51" spans="1:6" s="12" customFormat="1" ht="31.5">
      <c r="A51" s="24" t="s">
        <v>14</v>
      </c>
      <c r="B51" s="18" t="s">
        <v>46</v>
      </c>
      <c r="C51" s="18">
        <v>600</v>
      </c>
      <c r="D51" s="19">
        <f>D52+D53</f>
        <v>644854480</v>
      </c>
      <c r="E51" s="20">
        <f>E52+E53</f>
        <v>25962875</v>
      </c>
      <c r="F51" s="20">
        <f t="shared" si="0"/>
        <v>670817355</v>
      </c>
    </row>
    <row r="52" spans="1:6" s="12" customFormat="1" ht="15.75">
      <c r="A52" s="24" t="s">
        <v>15</v>
      </c>
      <c r="B52" s="18" t="s">
        <v>46</v>
      </c>
      <c r="C52" s="18">
        <v>610</v>
      </c>
      <c r="D52" s="19">
        <v>614560277</v>
      </c>
      <c r="E52" s="20">
        <f>2179907+24830949</f>
        <v>27010856</v>
      </c>
      <c r="F52" s="20">
        <f t="shared" si="0"/>
        <v>641571133</v>
      </c>
    </row>
    <row r="53" spans="1:6" s="29" customFormat="1" ht="47.25">
      <c r="A53" s="24" t="s">
        <v>16</v>
      </c>
      <c r="B53" s="18" t="s">
        <v>46</v>
      </c>
      <c r="C53" s="18">
        <v>630</v>
      </c>
      <c r="D53" s="19">
        <v>30294203</v>
      </c>
      <c r="E53" s="20">
        <f>-2179907+1131926</f>
        <v>-1047981</v>
      </c>
      <c r="F53" s="20">
        <f t="shared" si="0"/>
        <v>29246222</v>
      </c>
    </row>
    <row r="54" spans="1:6" s="29" customFormat="1" ht="47.25">
      <c r="A54" s="17" t="s">
        <v>47</v>
      </c>
      <c r="B54" s="18" t="s">
        <v>48</v>
      </c>
      <c r="C54" s="18"/>
      <c r="D54" s="19">
        <f>D55</f>
        <v>2174470</v>
      </c>
      <c r="E54" s="20">
        <f>E55</f>
        <v>0</v>
      </c>
      <c r="F54" s="20">
        <f t="shared" si="0"/>
        <v>2174470</v>
      </c>
    </row>
    <row r="55" spans="1:6" s="29" customFormat="1" ht="31.5">
      <c r="A55" s="24" t="s">
        <v>14</v>
      </c>
      <c r="B55" s="18" t="s">
        <v>48</v>
      </c>
      <c r="C55" s="18">
        <v>600</v>
      </c>
      <c r="D55" s="19">
        <f>D56</f>
        <v>2174470</v>
      </c>
      <c r="E55" s="20">
        <f>E56</f>
        <v>0</v>
      </c>
      <c r="F55" s="20">
        <f t="shared" si="0"/>
        <v>2174470</v>
      </c>
    </row>
    <row r="56" spans="1:6" s="29" customFormat="1" ht="15.75">
      <c r="A56" s="24" t="s">
        <v>15</v>
      </c>
      <c r="B56" s="18" t="s">
        <v>48</v>
      </c>
      <c r="C56" s="18">
        <v>610</v>
      </c>
      <c r="D56" s="19">
        <v>2174470</v>
      </c>
      <c r="E56" s="26">
        <v>0</v>
      </c>
      <c r="F56" s="20">
        <f t="shared" si="0"/>
        <v>2174470</v>
      </c>
    </row>
    <row r="57" spans="1:6" s="29" customFormat="1" ht="31.5">
      <c r="A57" s="17" t="s">
        <v>49</v>
      </c>
      <c r="B57" s="18" t="s">
        <v>50</v>
      </c>
      <c r="C57" s="18"/>
      <c r="D57" s="19">
        <f>D58</f>
        <v>173200000</v>
      </c>
      <c r="E57" s="20">
        <f>E58</f>
        <v>0</v>
      </c>
      <c r="F57" s="20">
        <f t="shared" si="0"/>
        <v>173200000</v>
      </c>
    </row>
    <row r="58" spans="1:6" s="12" customFormat="1" ht="31.5">
      <c r="A58" s="24" t="s">
        <v>14</v>
      </c>
      <c r="B58" s="18" t="s">
        <v>50</v>
      </c>
      <c r="C58" s="18">
        <v>600</v>
      </c>
      <c r="D58" s="19">
        <f>D59</f>
        <v>173200000</v>
      </c>
      <c r="E58" s="20">
        <f>E59</f>
        <v>0</v>
      </c>
      <c r="F58" s="20">
        <f t="shared" si="0"/>
        <v>173200000</v>
      </c>
    </row>
    <row r="59" spans="1:6" s="12" customFormat="1" ht="15.75">
      <c r="A59" s="24" t="s">
        <v>15</v>
      </c>
      <c r="B59" s="18" t="s">
        <v>50</v>
      </c>
      <c r="C59" s="18">
        <v>610</v>
      </c>
      <c r="D59" s="25">
        <f>175200000-2000000</f>
        <v>173200000</v>
      </c>
      <c r="E59" s="26">
        <v>0</v>
      </c>
      <c r="F59" s="20">
        <f t="shared" si="0"/>
        <v>173200000</v>
      </c>
    </row>
    <row r="60" spans="1:6" s="12" customFormat="1" ht="31.5">
      <c r="A60" s="17" t="s">
        <v>51</v>
      </c>
      <c r="B60" s="18" t="s">
        <v>52</v>
      </c>
      <c r="C60" s="18"/>
      <c r="D60" s="25">
        <f>D61</f>
        <v>10087171.04</v>
      </c>
      <c r="E60" s="22">
        <f>E61</f>
        <v>5556621.12</v>
      </c>
      <c r="F60" s="20">
        <f t="shared" si="0"/>
        <v>15643792.16</v>
      </c>
    </row>
    <row r="61" spans="1:6" s="12" customFormat="1" ht="31.5">
      <c r="A61" s="24" t="s">
        <v>14</v>
      </c>
      <c r="B61" s="18" t="s">
        <v>52</v>
      </c>
      <c r="C61" s="18">
        <v>600</v>
      </c>
      <c r="D61" s="25">
        <f>D62</f>
        <v>10087171.04</v>
      </c>
      <c r="E61" s="22">
        <f>E62</f>
        <v>5556621.12</v>
      </c>
      <c r="F61" s="20">
        <f t="shared" si="0"/>
        <v>15643792.16</v>
      </c>
    </row>
    <row r="62" spans="1:6" s="12" customFormat="1" ht="15.75">
      <c r="A62" s="24" t="s">
        <v>15</v>
      </c>
      <c r="B62" s="18" t="s">
        <v>52</v>
      </c>
      <c r="C62" s="18">
        <v>610</v>
      </c>
      <c r="D62" s="25">
        <f>10000000-2918421.06-5263157.9+8268750</f>
        <v>10087171.04</v>
      </c>
      <c r="E62" s="20">
        <f>124621.12+3000000+2030000+200000+202000</f>
        <v>5556621.12</v>
      </c>
      <c r="F62" s="20">
        <f t="shared" si="0"/>
        <v>15643792.16</v>
      </c>
    </row>
    <row r="63" spans="1:6" s="12" customFormat="1" ht="63">
      <c r="A63" s="24" t="s">
        <v>53</v>
      </c>
      <c r="B63" s="18" t="s">
        <v>54</v>
      </c>
      <c r="C63" s="18"/>
      <c r="D63" s="19">
        <f>D64</f>
        <v>0</v>
      </c>
      <c r="E63" s="20">
        <f>E64</f>
        <v>11500000</v>
      </c>
      <c r="F63" s="20">
        <f t="shared" si="0"/>
        <v>11500000</v>
      </c>
    </row>
    <row r="64" spans="1:6" s="12" customFormat="1" ht="31.5">
      <c r="A64" s="24" t="s">
        <v>14</v>
      </c>
      <c r="B64" s="18" t="s">
        <v>54</v>
      </c>
      <c r="C64" s="18">
        <v>600</v>
      </c>
      <c r="D64" s="19">
        <f>D65</f>
        <v>0</v>
      </c>
      <c r="E64" s="20">
        <f>E65</f>
        <v>11500000</v>
      </c>
      <c r="F64" s="20">
        <f t="shared" si="0"/>
        <v>11500000</v>
      </c>
    </row>
    <row r="65" spans="1:6" s="12" customFormat="1" ht="15.75">
      <c r="A65" s="24" t="s">
        <v>15</v>
      </c>
      <c r="B65" s="18" t="s">
        <v>54</v>
      </c>
      <c r="C65" s="18">
        <v>610</v>
      </c>
      <c r="D65" s="19">
        <v>0</v>
      </c>
      <c r="E65" s="26">
        <v>11500000</v>
      </c>
      <c r="F65" s="20">
        <f t="shared" si="0"/>
        <v>11500000</v>
      </c>
    </row>
    <row r="66" spans="1:6" s="12" customFormat="1" ht="31.5">
      <c r="A66" s="17" t="s">
        <v>55</v>
      </c>
      <c r="B66" s="18" t="s">
        <v>56</v>
      </c>
      <c r="C66" s="18"/>
      <c r="D66" s="19">
        <f>D69+D67</f>
        <v>4400000</v>
      </c>
      <c r="E66" s="20">
        <f>E69+E67</f>
        <v>0</v>
      </c>
      <c r="F66" s="20">
        <f t="shared" si="0"/>
        <v>4400000</v>
      </c>
    </row>
    <row r="67" spans="1:6" s="12" customFormat="1" ht="31.5">
      <c r="A67" s="28" t="s">
        <v>27</v>
      </c>
      <c r="B67" s="18" t="s">
        <v>56</v>
      </c>
      <c r="C67" s="18">
        <v>200</v>
      </c>
      <c r="D67" s="19">
        <f>D68</f>
        <v>40000</v>
      </c>
      <c r="E67" s="20">
        <f>E68</f>
        <v>0</v>
      </c>
      <c r="F67" s="20">
        <f t="shared" si="0"/>
        <v>40000</v>
      </c>
    </row>
    <row r="68" spans="1:6" s="12" customFormat="1" ht="31.5">
      <c r="A68" s="28" t="s">
        <v>28</v>
      </c>
      <c r="B68" s="18" t="s">
        <v>56</v>
      </c>
      <c r="C68" s="18">
        <v>240</v>
      </c>
      <c r="D68" s="19">
        <v>40000</v>
      </c>
      <c r="E68" s="26">
        <v>0</v>
      </c>
      <c r="F68" s="20">
        <f t="shared" si="0"/>
        <v>40000</v>
      </c>
    </row>
    <row r="69" spans="1:6" s="12" customFormat="1" ht="15.75">
      <c r="A69" s="24" t="s">
        <v>29</v>
      </c>
      <c r="B69" s="18" t="s">
        <v>56</v>
      </c>
      <c r="C69" s="18">
        <v>300</v>
      </c>
      <c r="D69" s="19">
        <f>D70</f>
        <v>4360000</v>
      </c>
      <c r="E69" s="20">
        <f>E70</f>
        <v>0</v>
      </c>
      <c r="F69" s="20">
        <f t="shared" si="0"/>
        <v>4360000</v>
      </c>
    </row>
    <row r="70" spans="1:6" s="29" customFormat="1" ht="31.5">
      <c r="A70" s="24" t="s">
        <v>30</v>
      </c>
      <c r="B70" s="18" t="s">
        <v>56</v>
      </c>
      <c r="C70" s="18">
        <v>310</v>
      </c>
      <c r="D70" s="19">
        <v>4360000</v>
      </c>
      <c r="E70" s="26">
        <v>0</v>
      </c>
      <c r="F70" s="20">
        <f t="shared" si="0"/>
        <v>4360000</v>
      </c>
    </row>
    <row r="71" spans="1:6" s="29" customFormat="1" ht="47.25">
      <c r="A71" s="24" t="s">
        <v>57</v>
      </c>
      <c r="B71" s="18" t="s">
        <v>58</v>
      </c>
      <c r="C71" s="18"/>
      <c r="D71" s="22">
        <f>D72</f>
        <v>0</v>
      </c>
      <c r="E71" s="22">
        <f>E72</f>
        <v>13202280</v>
      </c>
      <c r="F71" s="23">
        <f t="shared" si="0"/>
        <v>13202280</v>
      </c>
    </row>
    <row r="72" spans="1:6" s="29" customFormat="1" ht="31.5">
      <c r="A72" s="24" t="s">
        <v>14</v>
      </c>
      <c r="B72" s="18" t="s">
        <v>58</v>
      </c>
      <c r="C72" s="18">
        <v>600</v>
      </c>
      <c r="D72" s="22">
        <f>D73</f>
        <v>0</v>
      </c>
      <c r="E72" s="22">
        <f>E73</f>
        <v>13202280</v>
      </c>
      <c r="F72" s="23">
        <f aca="true" t="shared" si="1" ref="F72:F135">SUM(D72:E72)</f>
        <v>13202280</v>
      </c>
    </row>
    <row r="73" spans="1:6" s="29" customFormat="1" ht="15.75">
      <c r="A73" s="24" t="s">
        <v>15</v>
      </c>
      <c r="B73" s="18" t="s">
        <v>58</v>
      </c>
      <c r="C73" s="18">
        <v>610</v>
      </c>
      <c r="D73" s="22"/>
      <c r="E73" s="20">
        <v>13202280</v>
      </c>
      <c r="F73" s="23">
        <f t="shared" si="1"/>
        <v>13202280</v>
      </c>
    </row>
    <row r="74" spans="1:6" s="29" customFormat="1" ht="78.75">
      <c r="A74" s="17" t="s">
        <v>59</v>
      </c>
      <c r="B74" s="18" t="s">
        <v>60</v>
      </c>
      <c r="C74" s="18"/>
      <c r="D74" s="19">
        <f>D75</f>
        <v>11500000</v>
      </c>
      <c r="E74" s="20">
        <f>E75</f>
        <v>-11500000</v>
      </c>
      <c r="F74" s="20">
        <f t="shared" si="1"/>
        <v>0</v>
      </c>
    </row>
    <row r="75" spans="1:6" s="29" customFormat="1" ht="31.5">
      <c r="A75" s="24" t="s">
        <v>14</v>
      </c>
      <c r="B75" s="18" t="s">
        <v>60</v>
      </c>
      <c r="C75" s="18">
        <v>600</v>
      </c>
      <c r="D75" s="19">
        <f>D76</f>
        <v>11500000</v>
      </c>
      <c r="E75" s="20">
        <f>E76</f>
        <v>-11500000</v>
      </c>
      <c r="F75" s="20">
        <f t="shared" si="1"/>
        <v>0</v>
      </c>
    </row>
    <row r="76" spans="1:6" s="29" customFormat="1" ht="15.75">
      <c r="A76" s="24" t="s">
        <v>15</v>
      </c>
      <c r="B76" s="18" t="s">
        <v>60</v>
      </c>
      <c r="C76" s="18">
        <v>610</v>
      </c>
      <c r="D76" s="25">
        <f>10925000+575000</f>
        <v>11500000</v>
      </c>
      <c r="E76" s="26">
        <v>-11500000</v>
      </c>
      <c r="F76" s="20">
        <f t="shared" si="1"/>
        <v>0</v>
      </c>
    </row>
    <row r="77" spans="1:6" s="29" customFormat="1" ht="94.5">
      <c r="A77" s="17" t="s">
        <v>61</v>
      </c>
      <c r="B77" s="18" t="s">
        <v>62</v>
      </c>
      <c r="C77" s="18"/>
      <c r="D77" s="19">
        <f>D78</f>
        <v>105263157.9</v>
      </c>
      <c r="E77" s="20">
        <f>E78</f>
        <v>0.1</v>
      </c>
      <c r="F77" s="20">
        <f t="shared" si="1"/>
        <v>105263158</v>
      </c>
    </row>
    <row r="78" spans="1:6" s="29" customFormat="1" ht="31.5">
      <c r="A78" s="24" t="s">
        <v>14</v>
      </c>
      <c r="B78" s="18" t="s">
        <v>62</v>
      </c>
      <c r="C78" s="18">
        <v>600</v>
      </c>
      <c r="D78" s="19">
        <f>D79</f>
        <v>105263157.9</v>
      </c>
      <c r="E78" s="20">
        <f>E79</f>
        <v>0.1</v>
      </c>
      <c r="F78" s="20">
        <f t="shared" si="1"/>
        <v>105263158</v>
      </c>
    </row>
    <row r="79" spans="1:6" s="29" customFormat="1" ht="15.75">
      <c r="A79" s="24" t="s">
        <v>15</v>
      </c>
      <c r="B79" s="18" t="s">
        <v>62</v>
      </c>
      <c r="C79" s="18">
        <v>610</v>
      </c>
      <c r="D79" s="19">
        <v>105263157.9</v>
      </c>
      <c r="E79" s="26">
        <v>0.1</v>
      </c>
      <c r="F79" s="20">
        <f t="shared" si="1"/>
        <v>105263158</v>
      </c>
    </row>
    <row r="80" spans="1:6" s="29" customFormat="1" ht="63">
      <c r="A80" s="24" t="s">
        <v>63</v>
      </c>
      <c r="B80" s="18" t="s">
        <v>64</v>
      </c>
      <c r="C80" s="18"/>
      <c r="D80" s="19">
        <f>D81</f>
        <v>928421052.64</v>
      </c>
      <c r="E80" s="20">
        <f>E81</f>
        <v>0</v>
      </c>
      <c r="F80" s="20">
        <f t="shared" si="1"/>
        <v>928421052.64</v>
      </c>
    </row>
    <row r="81" spans="1:6" s="29" customFormat="1" ht="31.5">
      <c r="A81" s="24" t="s">
        <v>33</v>
      </c>
      <c r="B81" s="18" t="s">
        <v>64</v>
      </c>
      <c r="C81" s="18">
        <v>400</v>
      </c>
      <c r="D81" s="19">
        <f>D82</f>
        <v>928421052.64</v>
      </c>
      <c r="E81" s="20">
        <f>E82</f>
        <v>0</v>
      </c>
      <c r="F81" s="20">
        <f t="shared" si="1"/>
        <v>928421052.64</v>
      </c>
    </row>
    <row r="82" spans="1:6" s="29" customFormat="1" ht="15.75">
      <c r="A82" s="24" t="s">
        <v>34</v>
      </c>
      <c r="B82" s="18" t="s">
        <v>64</v>
      </c>
      <c r="C82" s="18">
        <v>410</v>
      </c>
      <c r="D82" s="19">
        <v>928421052.64</v>
      </c>
      <c r="E82" s="26">
        <v>0</v>
      </c>
      <c r="F82" s="20">
        <f t="shared" si="1"/>
        <v>928421052.64</v>
      </c>
    </row>
    <row r="83" spans="1:6" s="29" customFormat="1" ht="78.75">
      <c r="A83" s="24" t="s">
        <v>65</v>
      </c>
      <c r="B83" s="18" t="s">
        <v>66</v>
      </c>
      <c r="C83" s="18"/>
      <c r="D83" s="19">
        <f>D84</f>
        <v>761579898.99</v>
      </c>
      <c r="E83" s="20">
        <f>E84</f>
        <v>-761579898.99</v>
      </c>
      <c r="F83" s="20">
        <f t="shared" si="1"/>
        <v>0</v>
      </c>
    </row>
    <row r="84" spans="1:6" s="29" customFormat="1" ht="31.5">
      <c r="A84" s="24" t="s">
        <v>33</v>
      </c>
      <c r="B84" s="18" t="s">
        <v>66</v>
      </c>
      <c r="C84" s="18">
        <v>400</v>
      </c>
      <c r="D84" s="19">
        <f>D85</f>
        <v>761579898.99</v>
      </c>
      <c r="E84" s="20">
        <f>E85</f>
        <v>-761579898.99</v>
      </c>
      <c r="F84" s="20">
        <f t="shared" si="1"/>
        <v>0</v>
      </c>
    </row>
    <row r="85" spans="1:6" s="29" customFormat="1" ht="15.75">
      <c r="A85" s="24" t="s">
        <v>34</v>
      </c>
      <c r="B85" s="18" t="s">
        <v>66</v>
      </c>
      <c r="C85" s="18">
        <v>410</v>
      </c>
      <c r="D85" s="19">
        <v>761579898.99</v>
      </c>
      <c r="E85" s="26">
        <f>-7615798.99-753964100</f>
        <v>-761579898.99</v>
      </c>
      <c r="F85" s="20">
        <f t="shared" si="1"/>
        <v>0</v>
      </c>
    </row>
    <row r="86" spans="1:6" ht="47.25">
      <c r="A86" s="24" t="s">
        <v>67</v>
      </c>
      <c r="B86" s="18" t="s">
        <v>68</v>
      </c>
      <c r="C86" s="18"/>
      <c r="D86" s="19">
        <f>D87+D91</f>
        <v>42500000</v>
      </c>
      <c r="E86" s="19">
        <f>E87+E91</f>
        <v>24005636</v>
      </c>
      <c r="F86" s="20">
        <f t="shared" si="1"/>
        <v>66505636</v>
      </c>
    </row>
    <row r="87" spans="1:6" s="12" customFormat="1" ht="47.25">
      <c r="A87" s="24" t="s">
        <v>69</v>
      </c>
      <c r="B87" s="18" t="s">
        <v>70</v>
      </c>
      <c r="C87" s="18"/>
      <c r="D87" s="19">
        <f>D88</f>
        <v>42500000</v>
      </c>
      <c r="E87" s="20">
        <f>E88</f>
        <v>-5878454</v>
      </c>
      <c r="F87" s="20">
        <f t="shared" si="1"/>
        <v>36621546</v>
      </c>
    </row>
    <row r="88" spans="1:6" s="12" customFormat="1" ht="31.5">
      <c r="A88" s="24" t="s">
        <v>14</v>
      </c>
      <c r="B88" s="18" t="s">
        <v>70</v>
      </c>
      <c r="C88" s="18">
        <v>600</v>
      </c>
      <c r="D88" s="19">
        <f>SUM(D89:D90)</f>
        <v>42500000</v>
      </c>
      <c r="E88" s="20">
        <f>SUM(E89:E90)</f>
        <v>-5878454</v>
      </c>
      <c r="F88" s="20">
        <f t="shared" si="1"/>
        <v>36621546</v>
      </c>
    </row>
    <row r="89" spans="1:6" ht="15.75">
      <c r="A89" s="24" t="s">
        <v>15</v>
      </c>
      <c r="B89" s="18" t="s">
        <v>70</v>
      </c>
      <c r="C89" s="18">
        <v>610</v>
      </c>
      <c r="D89" s="25">
        <f>48700000-7500000</f>
        <v>41200000</v>
      </c>
      <c r="E89" s="26">
        <f>-4781454-750000-347000</f>
        <v>-5878454</v>
      </c>
      <c r="F89" s="20">
        <f t="shared" si="1"/>
        <v>35321546</v>
      </c>
    </row>
    <row r="90" spans="1:6" ht="47.25">
      <c r="A90" s="24" t="s">
        <v>16</v>
      </c>
      <c r="B90" s="18" t="s">
        <v>70</v>
      </c>
      <c r="C90" s="18">
        <v>630</v>
      </c>
      <c r="D90" s="25">
        <v>1300000</v>
      </c>
      <c r="E90" s="26">
        <v>0</v>
      </c>
      <c r="F90" s="20">
        <f t="shared" si="1"/>
        <v>1300000</v>
      </c>
    </row>
    <row r="91" spans="1:6" ht="63">
      <c r="A91" s="24" t="s">
        <v>71</v>
      </c>
      <c r="B91" s="18" t="s">
        <v>72</v>
      </c>
      <c r="C91" s="18"/>
      <c r="D91" s="25">
        <f>D92</f>
        <v>0</v>
      </c>
      <c r="E91" s="25">
        <f>E92</f>
        <v>29884090</v>
      </c>
      <c r="F91" s="20">
        <f t="shared" si="1"/>
        <v>29884090</v>
      </c>
    </row>
    <row r="92" spans="1:6" ht="31.5">
      <c r="A92" s="24" t="s">
        <v>14</v>
      </c>
      <c r="B92" s="18" t="s">
        <v>72</v>
      </c>
      <c r="C92" s="18">
        <v>600</v>
      </c>
      <c r="D92" s="25">
        <f>D93</f>
        <v>0</v>
      </c>
      <c r="E92" s="25">
        <f>E93</f>
        <v>29884090</v>
      </c>
      <c r="F92" s="20">
        <f t="shared" si="1"/>
        <v>29884090</v>
      </c>
    </row>
    <row r="93" spans="1:6" ht="15.75">
      <c r="A93" s="24" t="s">
        <v>15</v>
      </c>
      <c r="B93" s="18" t="s">
        <v>72</v>
      </c>
      <c r="C93" s="18">
        <v>610</v>
      </c>
      <c r="D93" s="25">
        <v>0</v>
      </c>
      <c r="E93" s="25">
        <v>29884090</v>
      </c>
      <c r="F93" s="20">
        <f t="shared" si="1"/>
        <v>29884090</v>
      </c>
    </row>
    <row r="94" spans="1:6" s="12" customFormat="1" ht="31.5">
      <c r="A94" s="24" t="s">
        <v>73</v>
      </c>
      <c r="B94" s="18" t="s">
        <v>74</v>
      </c>
      <c r="C94" s="18"/>
      <c r="D94" s="19">
        <f>SUM(D95,D100)</f>
        <v>14126717</v>
      </c>
      <c r="E94" s="20">
        <f>SUM(E95,E100)</f>
        <v>-10584976</v>
      </c>
      <c r="F94" s="20">
        <f t="shared" si="1"/>
        <v>3541741</v>
      </c>
    </row>
    <row r="95" spans="1:6" s="12" customFormat="1" ht="31.5">
      <c r="A95" s="24" t="s">
        <v>75</v>
      </c>
      <c r="B95" s="18" t="s">
        <v>76</v>
      </c>
      <c r="C95" s="18"/>
      <c r="D95" s="19">
        <f>D96+D98</f>
        <v>11576717</v>
      </c>
      <c r="E95" s="19">
        <f>E96+E98</f>
        <v>-9084976</v>
      </c>
      <c r="F95" s="20">
        <f t="shared" si="1"/>
        <v>2491741</v>
      </c>
    </row>
    <row r="96" spans="1:6" s="12" customFormat="1" ht="31.5">
      <c r="A96" s="28" t="s">
        <v>27</v>
      </c>
      <c r="B96" s="18" t="s">
        <v>76</v>
      </c>
      <c r="C96" s="18">
        <v>200</v>
      </c>
      <c r="D96" s="19">
        <f>D97</f>
        <v>11576717</v>
      </c>
      <c r="E96" s="20">
        <f>E97</f>
        <v>-9349296</v>
      </c>
      <c r="F96" s="20">
        <f t="shared" si="1"/>
        <v>2227421</v>
      </c>
    </row>
    <row r="97" spans="1:6" s="12" customFormat="1" ht="31.5">
      <c r="A97" s="28" t="s">
        <v>28</v>
      </c>
      <c r="B97" s="18" t="s">
        <v>76</v>
      </c>
      <c r="C97" s="18">
        <v>240</v>
      </c>
      <c r="D97" s="25">
        <v>11576717</v>
      </c>
      <c r="E97" s="26">
        <f>-5500000-3849296</f>
        <v>-9349296</v>
      </c>
      <c r="F97" s="20">
        <f t="shared" si="1"/>
        <v>2227421</v>
      </c>
    </row>
    <row r="98" spans="1:6" s="12" customFormat="1" ht="31.5">
      <c r="A98" s="24" t="s">
        <v>14</v>
      </c>
      <c r="B98" s="18" t="s">
        <v>76</v>
      </c>
      <c r="C98" s="18">
        <v>600</v>
      </c>
      <c r="D98" s="25">
        <f>D99</f>
        <v>0</v>
      </c>
      <c r="E98" s="26">
        <f>E99</f>
        <v>264320</v>
      </c>
      <c r="F98" s="20">
        <f t="shared" si="1"/>
        <v>264320</v>
      </c>
    </row>
    <row r="99" spans="1:6" s="12" customFormat="1" ht="15.75">
      <c r="A99" s="24" t="s">
        <v>15</v>
      </c>
      <c r="B99" s="18" t="s">
        <v>76</v>
      </c>
      <c r="C99" s="18">
        <v>610</v>
      </c>
      <c r="D99" s="25">
        <v>0</v>
      </c>
      <c r="E99" s="26">
        <v>264320</v>
      </c>
      <c r="F99" s="20">
        <f t="shared" si="1"/>
        <v>264320</v>
      </c>
    </row>
    <row r="100" spans="1:6" s="12" customFormat="1" ht="31.5">
      <c r="A100" s="24" t="s">
        <v>77</v>
      </c>
      <c r="B100" s="18" t="s">
        <v>78</v>
      </c>
      <c r="C100" s="18"/>
      <c r="D100" s="19">
        <f>D101+D103</f>
        <v>2550000</v>
      </c>
      <c r="E100" s="20">
        <f>E101+E103</f>
        <v>-1500000</v>
      </c>
      <c r="F100" s="20">
        <f t="shared" si="1"/>
        <v>1050000</v>
      </c>
    </row>
    <row r="101" spans="1:6" s="12" customFormat="1" ht="31.5">
      <c r="A101" s="28" t="s">
        <v>27</v>
      </c>
      <c r="B101" s="18" t="s">
        <v>78</v>
      </c>
      <c r="C101" s="18">
        <v>200</v>
      </c>
      <c r="D101" s="19">
        <f>D102</f>
        <v>2550000</v>
      </c>
      <c r="E101" s="20">
        <f>E102</f>
        <v>-2550000</v>
      </c>
      <c r="F101" s="20">
        <f t="shared" si="1"/>
        <v>0</v>
      </c>
    </row>
    <row r="102" spans="1:6" s="12" customFormat="1" ht="31.5">
      <c r="A102" s="28" t="s">
        <v>28</v>
      </c>
      <c r="B102" s="18" t="s">
        <v>78</v>
      </c>
      <c r="C102" s="18">
        <v>240</v>
      </c>
      <c r="D102" s="19">
        <v>2550000</v>
      </c>
      <c r="E102" s="26">
        <v>-2550000</v>
      </c>
      <c r="F102" s="20">
        <f t="shared" si="1"/>
        <v>0</v>
      </c>
    </row>
    <row r="103" spans="1:6" s="12" customFormat="1" ht="31.5">
      <c r="A103" s="24" t="s">
        <v>14</v>
      </c>
      <c r="B103" s="18" t="s">
        <v>78</v>
      </c>
      <c r="C103" s="18">
        <v>600</v>
      </c>
      <c r="D103" s="19">
        <f>D104</f>
        <v>0</v>
      </c>
      <c r="E103" s="20">
        <f>E104</f>
        <v>1050000</v>
      </c>
      <c r="F103" s="20">
        <f t="shared" si="1"/>
        <v>1050000</v>
      </c>
    </row>
    <row r="104" spans="1:6" s="12" customFormat="1" ht="15.75">
      <c r="A104" s="24" t="s">
        <v>15</v>
      </c>
      <c r="B104" s="18" t="s">
        <v>78</v>
      </c>
      <c r="C104" s="18">
        <v>610</v>
      </c>
      <c r="D104" s="19">
        <v>0</v>
      </c>
      <c r="E104" s="26">
        <f>2550000-1500000</f>
        <v>1050000</v>
      </c>
      <c r="F104" s="20">
        <f t="shared" si="1"/>
        <v>1050000</v>
      </c>
    </row>
    <row r="105" spans="1:6" s="29" customFormat="1" ht="31.5">
      <c r="A105" s="24" t="s">
        <v>79</v>
      </c>
      <c r="B105" s="18" t="s">
        <v>80</v>
      </c>
      <c r="C105" s="18"/>
      <c r="D105" s="19">
        <f>SUM(D106,D110,D126,D120,D123,D117,D114)</f>
        <v>175665222.07</v>
      </c>
      <c r="E105" s="19">
        <f>SUM(E106,E110,E126,E120,E123,E117,E114)</f>
        <v>36088413.339999996</v>
      </c>
      <c r="F105" s="20">
        <f t="shared" si="1"/>
        <v>211753635.41</v>
      </c>
    </row>
    <row r="106" spans="1:6" ht="31.5">
      <c r="A106" s="24" t="s">
        <v>81</v>
      </c>
      <c r="B106" s="18" t="s">
        <v>82</v>
      </c>
      <c r="C106" s="18"/>
      <c r="D106" s="19">
        <f>D107</f>
        <v>53150000</v>
      </c>
      <c r="E106" s="20">
        <f>E107</f>
        <v>2970000</v>
      </c>
      <c r="F106" s="20">
        <f t="shared" si="1"/>
        <v>56120000</v>
      </c>
    </row>
    <row r="107" spans="1:6" s="12" customFormat="1" ht="31.5">
      <c r="A107" s="24" t="s">
        <v>14</v>
      </c>
      <c r="B107" s="18" t="s">
        <v>82</v>
      </c>
      <c r="C107" s="18">
        <v>600</v>
      </c>
      <c r="D107" s="19">
        <f>D108+D109</f>
        <v>53150000</v>
      </c>
      <c r="E107" s="20">
        <f>E108+E109</f>
        <v>2970000</v>
      </c>
      <c r="F107" s="20">
        <f t="shared" si="1"/>
        <v>56120000</v>
      </c>
    </row>
    <row r="108" spans="1:6" s="12" customFormat="1" ht="15.75">
      <c r="A108" s="24" t="s">
        <v>15</v>
      </c>
      <c r="B108" s="18" t="s">
        <v>82</v>
      </c>
      <c r="C108" s="18">
        <v>610</v>
      </c>
      <c r="D108" s="25">
        <v>52900000</v>
      </c>
      <c r="E108" s="26">
        <v>2320000</v>
      </c>
      <c r="F108" s="20">
        <f t="shared" si="1"/>
        <v>55220000</v>
      </c>
    </row>
    <row r="109" spans="1:6" ht="15.75">
      <c r="A109" s="24" t="s">
        <v>83</v>
      </c>
      <c r="B109" s="18" t="s">
        <v>82</v>
      </c>
      <c r="C109" s="18">
        <v>620</v>
      </c>
      <c r="D109" s="25">
        <v>250000</v>
      </c>
      <c r="E109" s="26">
        <v>650000</v>
      </c>
      <c r="F109" s="20">
        <f t="shared" si="1"/>
        <v>900000</v>
      </c>
    </row>
    <row r="110" spans="1:6" ht="31.5">
      <c r="A110" s="24" t="s">
        <v>84</v>
      </c>
      <c r="B110" s="18" t="s">
        <v>85</v>
      </c>
      <c r="C110" s="18"/>
      <c r="D110" s="25">
        <f>D111</f>
        <v>1050000</v>
      </c>
      <c r="E110" s="22">
        <f>E111</f>
        <v>1204976</v>
      </c>
      <c r="F110" s="20">
        <f t="shared" si="1"/>
        <v>2254976</v>
      </c>
    </row>
    <row r="111" spans="1:6" ht="31.5">
      <c r="A111" s="24" t="s">
        <v>14</v>
      </c>
      <c r="B111" s="18" t="s">
        <v>85</v>
      </c>
      <c r="C111" s="18">
        <v>600</v>
      </c>
      <c r="D111" s="25">
        <f>SUM(D112:D113)</f>
        <v>1050000</v>
      </c>
      <c r="E111" s="22">
        <f>SUM(E112:E113)</f>
        <v>1204976</v>
      </c>
      <c r="F111" s="20">
        <f t="shared" si="1"/>
        <v>2254976</v>
      </c>
    </row>
    <row r="112" spans="1:6" s="12" customFormat="1" ht="15.75">
      <c r="A112" s="24" t="s">
        <v>15</v>
      </c>
      <c r="B112" s="18" t="s">
        <v>85</v>
      </c>
      <c r="C112" s="18">
        <v>610</v>
      </c>
      <c r="D112" s="25">
        <v>200000</v>
      </c>
      <c r="E112" s="20">
        <f>1554976+300000</f>
        <v>1854976</v>
      </c>
      <c r="F112" s="20">
        <f t="shared" si="1"/>
        <v>2054976</v>
      </c>
    </row>
    <row r="113" spans="1:6" s="12" customFormat="1" ht="15.75">
      <c r="A113" s="24" t="s">
        <v>83</v>
      </c>
      <c r="B113" s="18" t="s">
        <v>85</v>
      </c>
      <c r="C113" s="18">
        <v>620</v>
      </c>
      <c r="D113" s="25">
        <v>850000</v>
      </c>
      <c r="E113" s="26">
        <v>-650000</v>
      </c>
      <c r="F113" s="20">
        <f t="shared" si="1"/>
        <v>200000</v>
      </c>
    </row>
    <row r="114" spans="1:6" s="12" customFormat="1" ht="31.5">
      <c r="A114" s="24" t="s">
        <v>86</v>
      </c>
      <c r="B114" s="18" t="s">
        <v>87</v>
      </c>
      <c r="C114" s="18"/>
      <c r="D114" s="25">
        <f>D115</f>
        <v>0</v>
      </c>
      <c r="E114" s="26">
        <f>E115</f>
        <v>27710770</v>
      </c>
      <c r="F114" s="20">
        <f t="shared" si="1"/>
        <v>27710770</v>
      </c>
    </row>
    <row r="115" spans="1:6" s="12" customFormat="1" ht="31.5">
      <c r="A115" s="28" t="s">
        <v>27</v>
      </c>
      <c r="B115" s="18" t="s">
        <v>87</v>
      </c>
      <c r="C115" s="18">
        <v>200</v>
      </c>
      <c r="D115" s="25">
        <f>D116</f>
        <v>0</v>
      </c>
      <c r="E115" s="26">
        <f>E116</f>
        <v>27710770</v>
      </c>
      <c r="F115" s="20">
        <f t="shared" si="1"/>
        <v>27710770</v>
      </c>
    </row>
    <row r="116" spans="1:6" s="12" customFormat="1" ht="31.5">
      <c r="A116" s="28" t="s">
        <v>28</v>
      </c>
      <c r="B116" s="18" t="s">
        <v>87</v>
      </c>
      <c r="C116" s="18">
        <v>240</v>
      </c>
      <c r="D116" s="25">
        <v>0</v>
      </c>
      <c r="E116" s="26">
        <v>27710770</v>
      </c>
      <c r="F116" s="20">
        <f t="shared" si="1"/>
        <v>27710770</v>
      </c>
    </row>
    <row r="117" spans="1:6" s="12" customFormat="1" ht="15.75">
      <c r="A117" s="24" t="s">
        <v>88</v>
      </c>
      <c r="B117" s="18" t="s">
        <v>89</v>
      </c>
      <c r="C117" s="18"/>
      <c r="D117" s="25">
        <f>D118</f>
        <v>0</v>
      </c>
      <c r="E117" s="26">
        <f>E118</f>
        <v>1571088.4</v>
      </c>
      <c r="F117" s="20">
        <f t="shared" si="1"/>
        <v>1571088.4</v>
      </c>
    </row>
    <row r="118" spans="1:6" s="12" customFormat="1" ht="31.5">
      <c r="A118" s="28" t="s">
        <v>27</v>
      </c>
      <c r="B118" s="18" t="s">
        <v>89</v>
      </c>
      <c r="C118" s="18">
        <v>200</v>
      </c>
      <c r="D118" s="25">
        <f>D119</f>
        <v>0</v>
      </c>
      <c r="E118" s="26">
        <f>E119</f>
        <v>1571088.4</v>
      </c>
      <c r="F118" s="20">
        <f t="shared" si="1"/>
        <v>1571088.4</v>
      </c>
    </row>
    <row r="119" spans="1:6" s="12" customFormat="1" ht="31.5">
      <c r="A119" s="28" t="s">
        <v>28</v>
      </c>
      <c r="B119" s="18" t="s">
        <v>89</v>
      </c>
      <c r="C119" s="18">
        <v>240</v>
      </c>
      <c r="D119" s="25">
        <v>0</v>
      </c>
      <c r="E119" s="26">
        <f>25079191.06-24931395.06+1423292.4</f>
        <v>1571088.4</v>
      </c>
      <c r="F119" s="20">
        <f t="shared" si="1"/>
        <v>1571088.4</v>
      </c>
    </row>
    <row r="120" spans="1:6" s="12" customFormat="1" ht="78.75">
      <c r="A120" s="24" t="s">
        <v>90</v>
      </c>
      <c r="B120" s="18" t="s">
        <v>91</v>
      </c>
      <c r="C120" s="18"/>
      <c r="D120" s="25">
        <f>D121</f>
        <v>47368421.06</v>
      </c>
      <c r="E120" s="22">
        <f>E121</f>
        <v>-47368421.06</v>
      </c>
      <c r="F120" s="20">
        <f t="shared" si="1"/>
        <v>0</v>
      </c>
    </row>
    <row r="121" spans="1:6" s="12" customFormat="1" ht="31.5">
      <c r="A121" s="28" t="s">
        <v>27</v>
      </c>
      <c r="B121" s="18" t="s">
        <v>91</v>
      </c>
      <c r="C121" s="18">
        <v>200</v>
      </c>
      <c r="D121" s="25">
        <f>D122</f>
        <v>47368421.06</v>
      </c>
      <c r="E121" s="22">
        <f>E122</f>
        <v>-47368421.06</v>
      </c>
      <c r="F121" s="20">
        <f t="shared" si="1"/>
        <v>0</v>
      </c>
    </row>
    <row r="122" spans="1:6" s="12" customFormat="1" ht="31.5">
      <c r="A122" s="28" t="s">
        <v>28</v>
      </c>
      <c r="B122" s="18" t="s">
        <v>91</v>
      </c>
      <c r="C122" s="18">
        <v>240</v>
      </c>
      <c r="D122" s="25">
        <f>45000000+2368421.06</f>
        <v>47368421.06</v>
      </c>
      <c r="E122" s="26">
        <v>-47368421.06</v>
      </c>
      <c r="F122" s="20">
        <f t="shared" si="1"/>
        <v>0</v>
      </c>
    </row>
    <row r="123" spans="1:6" s="12" customFormat="1" ht="78.75">
      <c r="A123" s="24" t="s">
        <v>90</v>
      </c>
      <c r="B123" s="18" t="s">
        <v>92</v>
      </c>
      <c r="C123" s="18"/>
      <c r="D123" s="22">
        <f>D124</f>
        <v>0</v>
      </c>
      <c r="E123" s="22">
        <f>E124</f>
        <v>50000000</v>
      </c>
      <c r="F123" s="20">
        <f t="shared" si="1"/>
        <v>50000000</v>
      </c>
    </row>
    <row r="124" spans="1:6" s="12" customFormat="1" ht="31.5">
      <c r="A124" s="28" t="s">
        <v>27</v>
      </c>
      <c r="B124" s="18" t="s">
        <v>92</v>
      </c>
      <c r="C124" s="18">
        <v>200</v>
      </c>
      <c r="D124" s="22">
        <f>D125</f>
        <v>0</v>
      </c>
      <c r="E124" s="22">
        <f>E125</f>
        <v>50000000</v>
      </c>
      <c r="F124" s="20">
        <f t="shared" si="1"/>
        <v>50000000</v>
      </c>
    </row>
    <row r="125" spans="1:6" s="12" customFormat="1" ht="31.5">
      <c r="A125" s="28" t="s">
        <v>28</v>
      </c>
      <c r="B125" s="18" t="s">
        <v>92</v>
      </c>
      <c r="C125" s="18">
        <v>240</v>
      </c>
      <c r="D125" s="22">
        <v>0</v>
      </c>
      <c r="E125" s="26">
        <f>47368421.06+2631578.94</f>
        <v>50000000</v>
      </c>
      <c r="F125" s="20">
        <f t="shared" si="1"/>
        <v>50000000</v>
      </c>
    </row>
    <row r="126" spans="1:6" s="12" customFormat="1" ht="47.25">
      <c r="A126" s="33" t="s">
        <v>93</v>
      </c>
      <c r="B126" s="34" t="s">
        <v>94</v>
      </c>
      <c r="C126" s="34"/>
      <c r="D126" s="35">
        <f>D127</f>
        <v>74096801.01</v>
      </c>
      <c r="E126" s="22">
        <f>E127</f>
        <v>0</v>
      </c>
      <c r="F126" s="20">
        <f t="shared" si="1"/>
        <v>74096801.01</v>
      </c>
    </row>
    <row r="127" spans="1:6" s="12" customFormat="1" ht="31.5">
      <c r="A127" s="28" t="s">
        <v>27</v>
      </c>
      <c r="B127" s="18" t="s">
        <v>94</v>
      </c>
      <c r="C127" s="18">
        <v>200</v>
      </c>
      <c r="D127" s="25">
        <f>D128</f>
        <v>74096801.01</v>
      </c>
      <c r="E127" s="22">
        <f>E128</f>
        <v>0</v>
      </c>
      <c r="F127" s="20">
        <f t="shared" si="1"/>
        <v>74096801.01</v>
      </c>
    </row>
    <row r="128" spans="1:6" s="12" customFormat="1" ht="31.5">
      <c r="A128" s="28" t="s">
        <v>28</v>
      </c>
      <c r="B128" s="18" t="s">
        <v>94</v>
      </c>
      <c r="C128" s="18">
        <v>240</v>
      </c>
      <c r="D128" s="25">
        <v>74096801.01</v>
      </c>
      <c r="E128" s="26">
        <v>0</v>
      </c>
      <c r="F128" s="20">
        <f t="shared" si="1"/>
        <v>74096801.01</v>
      </c>
    </row>
    <row r="129" spans="1:6" s="12" customFormat="1" ht="47.25">
      <c r="A129" s="17" t="s">
        <v>95</v>
      </c>
      <c r="B129" s="18" t="s">
        <v>96</v>
      </c>
      <c r="C129" s="18"/>
      <c r="D129" s="19">
        <f>SUM(D130,D133)</f>
        <v>10050000</v>
      </c>
      <c r="E129" s="20">
        <f>SUM(E130,E133)</f>
        <v>0</v>
      </c>
      <c r="F129" s="20">
        <f t="shared" si="1"/>
        <v>10050000</v>
      </c>
    </row>
    <row r="130" spans="1:6" s="12" customFormat="1" ht="47.25">
      <c r="A130" s="17" t="s">
        <v>97</v>
      </c>
      <c r="B130" s="18" t="s">
        <v>98</v>
      </c>
      <c r="C130" s="18"/>
      <c r="D130" s="19">
        <f>D131</f>
        <v>10000000</v>
      </c>
      <c r="E130" s="20">
        <f>E131</f>
        <v>0</v>
      </c>
      <c r="F130" s="20">
        <f t="shared" si="1"/>
        <v>10000000</v>
      </c>
    </row>
    <row r="131" spans="1:6" s="36" customFormat="1" ht="31.5">
      <c r="A131" s="24" t="s">
        <v>14</v>
      </c>
      <c r="B131" s="18" t="s">
        <v>98</v>
      </c>
      <c r="C131" s="18">
        <v>600</v>
      </c>
      <c r="D131" s="19">
        <f>D132</f>
        <v>10000000</v>
      </c>
      <c r="E131" s="20">
        <f>E132</f>
        <v>0</v>
      </c>
      <c r="F131" s="20">
        <f t="shared" si="1"/>
        <v>10000000</v>
      </c>
    </row>
    <row r="132" spans="1:6" s="12" customFormat="1" ht="15.75">
      <c r="A132" s="24" t="s">
        <v>15</v>
      </c>
      <c r="B132" s="18" t="s">
        <v>98</v>
      </c>
      <c r="C132" s="18">
        <v>610</v>
      </c>
      <c r="D132" s="19">
        <v>10000000</v>
      </c>
      <c r="E132" s="26">
        <v>0</v>
      </c>
      <c r="F132" s="20">
        <f t="shared" si="1"/>
        <v>10000000</v>
      </c>
    </row>
    <row r="133" spans="1:6" s="12" customFormat="1" ht="31.5">
      <c r="A133" s="17" t="s">
        <v>99</v>
      </c>
      <c r="B133" s="18" t="s">
        <v>100</v>
      </c>
      <c r="C133" s="18"/>
      <c r="D133" s="19">
        <f>D134</f>
        <v>50000</v>
      </c>
      <c r="E133" s="20">
        <f>E134</f>
        <v>0</v>
      </c>
      <c r="F133" s="20">
        <f t="shared" si="1"/>
        <v>50000</v>
      </c>
    </row>
    <row r="134" spans="1:6" s="12" customFormat="1" ht="31.5">
      <c r="A134" s="24" t="s">
        <v>14</v>
      </c>
      <c r="B134" s="18" t="s">
        <v>100</v>
      </c>
      <c r="C134" s="18">
        <v>600</v>
      </c>
      <c r="D134" s="19">
        <f>D135</f>
        <v>50000</v>
      </c>
      <c r="E134" s="20">
        <f>E135</f>
        <v>0</v>
      </c>
      <c r="F134" s="20">
        <f t="shared" si="1"/>
        <v>50000</v>
      </c>
    </row>
    <row r="135" spans="1:6" s="12" customFormat="1" ht="15.75">
      <c r="A135" s="24" t="s">
        <v>15</v>
      </c>
      <c r="B135" s="18" t="s">
        <v>100</v>
      </c>
      <c r="C135" s="18">
        <v>610</v>
      </c>
      <c r="D135" s="19">
        <v>50000</v>
      </c>
      <c r="E135" s="26">
        <v>0</v>
      </c>
      <c r="F135" s="20">
        <f t="shared" si="1"/>
        <v>50000</v>
      </c>
    </row>
    <row r="136" spans="1:6" s="12" customFormat="1" ht="31.5">
      <c r="A136" s="17" t="s">
        <v>101</v>
      </c>
      <c r="B136" s="18" t="s">
        <v>102</v>
      </c>
      <c r="C136" s="18"/>
      <c r="D136" s="25">
        <f>SUM(D137,D144,D151,D154,D157,D162)</f>
        <v>149050057</v>
      </c>
      <c r="E136" s="22">
        <f>SUM(E137,E144,E151,E154,E157,E162)</f>
        <v>-3189990.599999994</v>
      </c>
      <c r="F136" s="20">
        <f aca="true" t="shared" si="2" ref="F136:F199">SUM(D136:E136)</f>
        <v>145860066.4</v>
      </c>
    </row>
    <row r="137" spans="1:6" s="12" customFormat="1" ht="31.5">
      <c r="A137" s="17" t="s">
        <v>103</v>
      </c>
      <c r="B137" s="18" t="s">
        <v>104</v>
      </c>
      <c r="C137" s="18"/>
      <c r="D137" s="19">
        <f>SUM(D138,D140,D142)</f>
        <v>12000000</v>
      </c>
      <c r="E137" s="20">
        <f>SUM(E138,E140,E142)</f>
        <v>0</v>
      </c>
      <c r="F137" s="20">
        <f t="shared" si="2"/>
        <v>12000000</v>
      </c>
    </row>
    <row r="138" spans="1:6" s="12" customFormat="1" ht="78.75">
      <c r="A138" s="37" t="s">
        <v>105</v>
      </c>
      <c r="B138" s="18" t="s">
        <v>104</v>
      </c>
      <c r="C138" s="38" t="s">
        <v>106</v>
      </c>
      <c r="D138" s="19">
        <f>D139</f>
        <v>11560000</v>
      </c>
      <c r="E138" s="20">
        <f>E139</f>
        <v>0</v>
      </c>
      <c r="F138" s="20">
        <f t="shared" si="2"/>
        <v>11560000</v>
      </c>
    </row>
    <row r="139" spans="1:6" s="12" customFormat="1" ht="31.5">
      <c r="A139" s="37" t="s">
        <v>107</v>
      </c>
      <c r="B139" s="18" t="s">
        <v>104</v>
      </c>
      <c r="C139" s="38" t="s">
        <v>108</v>
      </c>
      <c r="D139" s="19">
        <f>10000000+1560000</f>
        <v>11560000</v>
      </c>
      <c r="E139" s="26">
        <v>0</v>
      </c>
      <c r="F139" s="20">
        <f t="shared" si="2"/>
        <v>11560000</v>
      </c>
    </row>
    <row r="140" spans="1:6" s="12" customFormat="1" ht="31.5">
      <c r="A140" s="28" t="s">
        <v>27</v>
      </c>
      <c r="B140" s="18" t="s">
        <v>104</v>
      </c>
      <c r="C140" s="38" t="s">
        <v>109</v>
      </c>
      <c r="D140" s="19">
        <f>D141</f>
        <v>430000</v>
      </c>
      <c r="E140" s="20">
        <f>E141</f>
        <v>0</v>
      </c>
      <c r="F140" s="20">
        <f t="shared" si="2"/>
        <v>430000</v>
      </c>
    </row>
    <row r="141" spans="1:6" s="12" customFormat="1" ht="31.5">
      <c r="A141" s="28" t="s">
        <v>28</v>
      </c>
      <c r="B141" s="18" t="s">
        <v>104</v>
      </c>
      <c r="C141" s="38" t="s">
        <v>110</v>
      </c>
      <c r="D141" s="19">
        <v>430000</v>
      </c>
      <c r="E141" s="26">
        <v>0</v>
      </c>
      <c r="F141" s="20">
        <f t="shared" si="2"/>
        <v>430000</v>
      </c>
    </row>
    <row r="142" spans="1:6" s="12" customFormat="1" ht="15.75">
      <c r="A142" s="28" t="s">
        <v>17</v>
      </c>
      <c r="B142" s="18" t="s">
        <v>104</v>
      </c>
      <c r="C142" s="38" t="s">
        <v>111</v>
      </c>
      <c r="D142" s="19">
        <f>D143</f>
        <v>10000</v>
      </c>
      <c r="E142" s="20">
        <f>E143</f>
        <v>0</v>
      </c>
      <c r="F142" s="20">
        <f t="shared" si="2"/>
        <v>10000</v>
      </c>
    </row>
    <row r="143" spans="1:6" s="12" customFormat="1" ht="15.75">
      <c r="A143" s="28" t="s">
        <v>112</v>
      </c>
      <c r="B143" s="18" t="s">
        <v>104</v>
      </c>
      <c r="C143" s="38" t="s">
        <v>113</v>
      </c>
      <c r="D143" s="19">
        <v>10000</v>
      </c>
      <c r="E143" s="26">
        <v>0</v>
      </c>
      <c r="F143" s="20">
        <f t="shared" si="2"/>
        <v>10000</v>
      </c>
    </row>
    <row r="144" spans="1:6" s="12" customFormat="1" ht="31.5">
      <c r="A144" s="17" t="s">
        <v>114</v>
      </c>
      <c r="B144" s="18" t="s">
        <v>115</v>
      </c>
      <c r="C144" s="18"/>
      <c r="D144" s="19">
        <f>SUM(D145,D147,D149)</f>
        <v>48242000</v>
      </c>
      <c r="E144" s="20">
        <f>SUM(E145,E147,E149)</f>
        <v>750000</v>
      </c>
      <c r="F144" s="20">
        <f t="shared" si="2"/>
        <v>48992000</v>
      </c>
    </row>
    <row r="145" spans="1:6" s="12" customFormat="1" ht="78.75">
      <c r="A145" s="37" t="s">
        <v>105</v>
      </c>
      <c r="B145" s="18" t="s">
        <v>115</v>
      </c>
      <c r="C145" s="18">
        <v>100</v>
      </c>
      <c r="D145" s="19">
        <f>D146</f>
        <v>44717000</v>
      </c>
      <c r="E145" s="20">
        <f>E146</f>
        <v>0</v>
      </c>
      <c r="F145" s="20">
        <f t="shared" si="2"/>
        <v>44717000</v>
      </c>
    </row>
    <row r="146" spans="1:6" s="12" customFormat="1" ht="15.75">
      <c r="A146" s="37" t="s">
        <v>116</v>
      </c>
      <c r="B146" s="18" t="s">
        <v>115</v>
      </c>
      <c r="C146" s="18">
        <v>110</v>
      </c>
      <c r="D146" s="19">
        <v>44717000</v>
      </c>
      <c r="E146" s="26">
        <v>0</v>
      </c>
      <c r="F146" s="20">
        <f t="shared" si="2"/>
        <v>44717000</v>
      </c>
    </row>
    <row r="147" spans="1:6" s="12" customFormat="1" ht="31.5">
      <c r="A147" s="28" t="s">
        <v>27</v>
      </c>
      <c r="B147" s="18" t="s">
        <v>115</v>
      </c>
      <c r="C147" s="18">
        <v>200</v>
      </c>
      <c r="D147" s="19">
        <f>D148</f>
        <v>3500000</v>
      </c>
      <c r="E147" s="20">
        <f>E148</f>
        <v>750000</v>
      </c>
      <c r="F147" s="20">
        <f t="shared" si="2"/>
        <v>4250000</v>
      </c>
    </row>
    <row r="148" spans="1:6" s="12" customFormat="1" ht="31.5">
      <c r="A148" s="28" t="s">
        <v>28</v>
      </c>
      <c r="B148" s="18" t="s">
        <v>115</v>
      </c>
      <c r="C148" s="18">
        <v>240</v>
      </c>
      <c r="D148" s="19">
        <v>3500000</v>
      </c>
      <c r="E148" s="26">
        <v>750000</v>
      </c>
      <c r="F148" s="20">
        <f t="shared" si="2"/>
        <v>4250000</v>
      </c>
    </row>
    <row r="149" spans="1:6" s="12" customFormat="1" ht="15.75">
      <c r="A149" s="28" t="s">
        <v>17</v>
      </c>
      <c r="B149" s="18" t="s">
        <v>115</v>
      </c>
      <c r="C149" s="18">
        <v>800</v>
      </c>
      <c r="D149" s="19">
        <f>D150</f>
        <v>25000</v>
      </c>
      <c r="E149" s="20">
        <f>E150</f>
        <v>0</v>
      </c>
      <c r="F149" s="20">
        <f t="shared" si="2"/>
        <v>25000</v>
      </c>
    </row>
    <row r="150" spans="1:6" s="12" customFormat="1" ht="15.75">
      <c r="A150" s="28" t="s">
        <v>112</v>
      </c>
      <c r="B150" s="18" t="s">
        <v>115</v>
      </c>
      <c r="C150" s="18">
        <v>850</v>
      </c>
      <c r="D150" s="39">
        <v>25000</v>
      </c>
      <c r="E150" s="26">
        <v>0</v>
      </c>
      <c r="F150" s="20">
        <f t="shared" si="2"/>
        <v>25000</v>
      </c>
    </row>
    <row r="151" spans="1:6" s="12" customFormat="1" ht="31.5">
      <c r="A151" s="17" t="s">
        <v>117</v>
      </c>
      <c r="B151" s="18" t="s">
        <v>118</v>
      </c>
      <c r="C151" s="18"/>
      <c r="D151" s="19">
        <f>D152</f>
        <v>450000</v>
      </c>
      <c r="E151" s="20">
        <f>E152</f>
        <v>330000</v>
      </c>
      <c r="F151" s="20">
        <f t="shared" si="2"/>
        <v>780000</v>
      </c>
    </row>
    <row r="152" spans="1:6" s="12" customFormat="1" ht="15.75">
      <c r="A152" s="24" t="s">
        <v>29</v>
      </c>
      <c r="B152" s="18" t="s">
        <v>118</v>
      </c>
      <c r="C152" s="18">
        <v>300</v>
      </c>
      <c r="D152" s="25">
        <f>D153</f>
        <v>450000</v>
      </c>
      <c r="E152" s="22">
        <f>E153</f>
        <v>330000</v>
      </c>
      <c r="F152" s="20">
        <f t="shared" si="2"/>
        <v>780000</v>
      </c>
    </row>
    <row r="153" spans="1:6" s="12" customFormat="1" ht="31.5">
      <c r="A153" s="24" t="s">
        <v>119</v>
      </c>
      <c r="B153" s="18" t="s">
        <v>118</v>
      </c>
      <c r="C153" s="18">
        <v>330</v>
      </c>
      <c r="D153" s="19">
        <v>450000</v>
      </c>
      <c r="E153" s="26">
        <v>330000</v>
      </c>
      <c r="F153" s="20">
        <f t="shared" si="2"/>
        <v>780000</v>
      </c>
    </row>
    <row r="154" spans="1:6" s="12" customFormat="1" ht="31.5">
      <c r="A154" s="24" t="s">
        <v>120</v>
      </c>
      <c r="B154" s="18" t="s">
        <v>121</v>
      </c>
      <c r="C154" s="18"/>
      <c r="D154" s="19">
        <f>D155</f>
        <v>300000</v>
      </c>
      <c r="E154" s="20">
        <f>E155</f>
        <v>0</v>
      </c>
      <c r="F154" s="20">
        <f t="shared" si="2"/>
        <v>300000</v>
      </c>
    </row>
    <row r="155" spans="1:6" s="12" customFormat="1" ht="31.5">
      <c r="A155" s="24" t="s">
        <v>14</v>
      </c>
      <c r="B155" s="18" t="s">
        <v>121</v>
      </c>
      <c r="C155" s="18">
        <v>600</v>
      </c>
      <c r="D155" s="19">
        <f>D156</f>
        <v>300000</v>
      </c>
      <c r="E155" s="20">
        <f>E156</f>
        <v>0</v>
      </c>
      <c r="F155" s="20">
        <f t="shared" si="2"/>
        <v>300000</v>
      </c>
    </row>
    <row r="156" spans="1:6" s="12" customFormat="1" ht="15.75">
      <c r="A156" s="24" t="s">
        <v>15</v>
      </c>
      <c r="B156" s="18" t="s">
        <v>121</v>
      </c>
      <c r="C156" s="18">
        <v>610</v>
      </c>
      <c r="D156" s="19">
        <v>300000</v>
      </c>
      <c r="E156" s="26">
        <v>0</v>
      </c>
      <c r="F156" s="20">
        <f t="shared" si="2"/>
        <v>300000</v>
      </c>
    </row>
    <row r="157" spans="1:6" s="29" customFormat="1" ht="15.75">
      <c r="A157" s="17" t="s">
        <v>122</v>
      </c>
      <c r="B157" s="18" t="s">
        <v>123</v>
      </c>
      <c r="C157" s="18"/>
      <c r="D157" s="19">
        <f>SUM(D158,D160)</f>
        <v>11751281</v>
      </c>
      <c r="E157" s="20">
        <f>SUM(E158,E160)</f>
        <v>-4269991</v>
      </c>
      <c r="F157" s="20">
        <f t="shared" si="2"/>
        <v>7481290</v>
      </c>
    </row>
    <row r="158" spans="1:6" ht="31.5">
      <c r="A158" s="28" t="s">
        <v>27</v>
      </c>
      <c r="B158" s="18" t="s">
        <v>123</v>
      </c>
      <c r="C158" s="38" t="s">
        <v>109</v>
      </c>
      <c r="D158" s="19">
        <f>D159</f>
        <v>117513</v>
      </c>
      <c r="E158" s="20">
        <f>E159</f>
        <v>-47564.34</v>
      </c>
      <c r="F158" s="20">
        <f t="shared" si="2"/>
        <v>69948.66</v>
      </c>
    </row>
    <row r="159" spans="1:6" s="12" customFormat="1" ht="31.5">
      <c r="A159" s="28" t="s">
        <v>28</v>
      </c>
      <c r="B159" s="18" t="s">
        <v>123</v>
      </c>
      <c r="C159" s="38" t="s">
        <v>110</v>
      </c>
      <c r="D159" s="19">
        <v>117513</v>
      </c>
      <c r="E159" s="26">
        <v>-47564.34</v>
      </c>
      <c r="F159" s="20">
        <f t="shared" si="2"/>
        <v>69948.66</v>
      </c>
    </row>
    <row r="160" spans="1:6" s="12" customFormat="1" ht="15.75">
      <c r="A160" s="24" t="s">
        <v>29</v>
      </c>
      <c r="B160" s="18" t="s">
        <v>123</v>
      </c>
      <c r="C160" s="18">
        <v>300</v>
      </c>
      <c r="D160" s="25">
        <f>D161</f>
        <v>11633768</v>
      </c>
      <c r="E160" s="22">
        <f>E161</f>
        <v>-4222426.66</v>
      </c>
      <c r="F160" s="20">
        <f t="shared" si="2"/>
        <v>7411341.34</v>
      </c>
    </row>
    <row r="161" spans="1:6" s="12" customFormat="1" ht="31.5">
      <c r="A161" s="24" t="s">
        <v>30</v>
      </c>
      <c r="B161" s="18" t="s">
        <v>123</v>
      </c>
      <c r="C161" s="18">
        <v>310</v>
      </c>
      <c r="D161" s="19">
        <v>11633768</v>
      </c>
      <c r="E161" s="26">
        <v>-4222426.66</v>
      </c>
      <c r="F161" s="20">
        <f t="shared" si="2"/>
        <v>7411341.34</v>
      </c>
    </row>
    <row r="162" spans="1:6" s="12" customFormat="1" ht="31.5">
      <c r="A162" s="17" t="s">
        <v>124</v>
      </c>
      <c r="B162" s="18" t="s">
        <v>125</v>
      </c>
      <c r="C162" s="18"/>
      <c r="D162" s="19">
        <f>D163+D165</f>
        <v>76306776</v>
      </c>
      <c r="E162" s="19">
        <f>E163+E165</f>
        <v>0.4000000059604645</v>
      </c>
      <c r="F162" s="20">
        <f t="shared" si="2"/>
        <v>76306776.4</v>
      </c>
    </row>
    <row r="163" spans="1:6" s="12" customFormat="1" ht="31.5">
      <c r="A163" s="24" t="s">
        <v>27</v>
      </c>
      <c r="B163" s="18" t="s">
        <v>125</v>
      </c>
      <c r="C163" s="18">
        <v>200</v>
      </c>
      <c r="D163" s="19">
        <f>D164</f>
        <v>76306776</v>
      </c>
      <c r="E163" s="20">
        <f>E164</f>
        <v>-76306776</v>
      </c>
      <c r="F163" s="20">
        <f t="shared" si="2"/>
        <v>0</v>
      </c>
    </row>
    <row r="164" spans="1:6" s="12" customFormat="1" ht="31.5">
      <c r="A164" s="24" t="s">
        <v>28</v>
      </c>
      <c r="B164" s="18" t="s">
        <v>125</v>
      </c>
      <c r="C164" s="18">
        <v>240</v>
      </c>
      <c r="D164" s="19">
        <v>76306776</v>
      </c>
      <c r="E164" s="26">
        <f>0.4-76306776.4</f>
        <v>-76306776</v>
      </c>
      <c r="F164" s="20">
        <f t="shared" si="2"/>
        <v>0</v>
      </c>
    </row>
    <row r="165" spans="1:6" s="12" customFormat="1" ht="15.75">
      <c r="A165" s="24" t="s">
        <v>17</v>
      </c>
      <c r="B165" s="18" t="s">
        <v>125</v>
      </c>
      <c r="C165" s="18">
        <v>800</v>
      </c>
      <c r="D165" s="19">
        <f>D166</f>
        <v>0</v>
      </c>
      <c r="E165" s="26">
        <f>E166</f>
        <v>76306776.4</v>
      </c>
      <c r="F165" s="20">
        <f t="shared" si="2"/>
        <v>76306776.4</v>
      </c>
    </row>
    <row r="166" spans="1:6" s="12" customFormat="1" ht="63">
      <c r="A166" s="24" t="s">
        <v>18</v>
      </c>
      <c r="B166" s="18" t="s">
        <v>125</v>
      </c>
      <c r="C166" s="18">
        <v>810</v>
      </c>
      <c r="D166" s="19">
        <v>0</v>
      </c>
      <c r="E166" s="26">
        <v>76306776.4</v>
      </c>
      <c r="F166" s="20">
        <f t="shared" si="2"/>
        <v>76306776.4</v>
      </c>
    </row>
    <row r="167" spans="1:6" s="12" customFormat="1" ht="31.5">
      <c r="A167" s="13" t="s">
        <v>126</v>
      </c>
      <c r="B167" s="14" t="s">
        <v>127</v>
      </c>
      <c r="C167" s="40"/>
      <c r="D167" s="15">
        <f>SUM(D168,D202,D209,D216,D223)</f>
        <v>336496000</v>
      </c>
      <c r="E167" s="16">
        <f>SUM(E168,E202,E209,E216,E223)</f>
        <v>26025869</v>
      </c>
      <c r="F167" s="16">
        <f t="shared" si="2"/>
        <v>362521869</v>
      </c>
    </row>
    <row r="168" spans="1:6" s="12" customFormat="1" ht="47.25">
      <c r="A168" s="17" t="s">
        <v>128</v>
      </c>
      <c r="B168" s="18" t="s">
        <v>129</v>
      </c>
      <c r="C168" s="40"/>
      <c r="D168" s="19">
        <f>SUM(D169,D173,D177,D184,D187,D190,D196,D199,D193,D181)</f>
        <v>117270000</v>
      </c>
      <c r="E168" s="19">
        <f>SUM(E169,E173,E177,E184,E187,E190,E196,E199,E193,E181)</f>
        <v>9460498</v>
      </c>
      <c r="F168" s="20">
        <f t="shared" si="2"/>
        <v>126730498</v>
      </c>
    </row>
    <row r="169" spans="1:6" s="12" customFormat="1" ht="31.5">
      <c r="A169" s="17" t="s">
        <v>130</v>
      </c>
      <c r="B169" s="18" t="s">
        <v>131</v>
      </c>
      <c r="C169" s="18"/>
      <c r="D169" s="19">
        <f>SUM(D170)</f>
        <v>7000000</v>
      </c>
      <c r="E169" s="20">
        <f>SUM(E170)</f>
        <v>-2019288</v>
      </c>
      <c r="F169" s="20">
        <f t="shared" si="2"/>
        <v>4980712</v>
      </c>
    </row>
    <row r="170" spans="1:6" s="12" customFormat="1" ht="31.5">
      <c r="A170" s="24" t="s">
        <v>14</v>
      </c>
      <c r="B170" s="18" t="s">
        <v>131</v>
      </c>
      <c r="C170" s="18">
        <v>600</v>
      </c>
      <c r="D170" s="19">
        <f>SUM(D171:D172)</f>
        <v>7000000</v>
      </c>
      <c r="E170" s="20">
        <f>SUM(E171:E172)</f>
        <v>-2019288</v>
      </c>
      <c r="F170" s="20">
        <f t="shared" si="2"/>
        <v>4980712</v>
      </c>
    </row>
    <row r="171" spans="1:6" s="12" customFormat="1" ht="15.75">
      <c r="A171" s="24" t="s">
        <v>15</v>
      </c>
      <c r="B171" s="18" t="s">
        <v>131</v>
      </c>
      <c r="C171" s="18">
        <v>610</v>
      </c>
      <c r="D171" s="25">
        <v>6000000</v>
      </c>
      <c r="E171" s="20">
        <f>-2000000-1000000-330000+1833500+50000</f>
        <v>-1446500</v>
      </c>
      <c r="F171" s="20">
        <f t="shared" si="2"/>
        <v>4553500</v>
      </c>
    </row>
    <row r="172" spans="1:6" s="12" customFormat="1" ht="15.75">
      <c r="A172" s="24" t="s">
        <v>83</v>
      </c>
      <c r="B172" s="18" t="s">
        <v>131</v>
      </c>
      <c r="C172" s="18">
        <v>620</v>
      </c>
      <c r="D172" s="25">
        <v>1000000</v>
      </c>
      <c r="E172" s="20">
        <f>-500000-139288+66500</f>
        <v>-572788</v>
      </c>
      <c r="F172" s="20">
        <f t="shared" si="2"/>
        <v>427212</v>
      </c>
    </row>
    <row r="173" spans="1:6" s="12" customFormat="1" ht="31.5">
      <c r="A173" s="17" t="s">
        <v>132</v>
      </c>
      <c r="B173" s="18" t="s">
        <v>133</v>
      </c>
      <c r="C173" s="18"/>
      <c r="D173" s="25">
        <f>D174</f>
        <v>91700000</v>
      </c>
      <c r="E173" s="22">
        <f>E174</f>
        <v>2379786</v>
      </c>
      <c r="F173" s="20">
        <f t="shared" si="2"/>
        <v>94079786</v>
      </c>
    </row>
    <row r="174" spans="1:6" s="12" customFormat="1" ht="31.5">
      <c r="A174" s="24" t="s">
        <v>14</v>
      </c>
      <c r="B174" s="18" t="s">
        <v>133</v>
      </c>
      <c r="C174" s="18">
        <v>600</v>
      </c>
      <c r="D174" s="25">
        <f>D175+D176</f>
        <v>91700000</v>
      </c>
      <c r="E174" s="22">
        <f>E175+E176</f>
        <v>2379786</v>
      </c>
      <c r="F174" s="20">
        <f t="shared" si="2"/>
        <v>94079786</v>
      </c>
    </row>
    <row r="175" spans="1:6" s="29" customFormat="1" ht="15.75">
      <c r="A175" s="24" t="s">
        <v>15</v>
      </c>
      <c r="B175" s="18" t="s">
        <v>133</v>
      </c>
      <c r="C175" s="18">
        <v>610</v>
      </c>
      <c r="D175" s="19">
        <v>49500000</v>
      </c>
      <c r="E175" s="20">
        <v>2379786</v>
      </c>
      <c r="F175" s="20">
        <f t="shared" si="2"/>
        <v>51879786</v>
      </c>
    </row>
    <row r="176" spans="1:6" s="29" customFormat="1" ht="15.75">
      <c r="A176" s="24" t="s">
        <v>83</v>
      </c>
      <c r="B176" s="18" t="s">
        <v>133</v>
      </c>
      <c r="C176" s="18">
        <v>620</v>
      </c>
      <c r="D176" s="19">
        <v>42200000</v>
      </c>
      <c r="E176" s="26">
        <v>0</v>
      </c>
      <c r="F176" s="20">
        <f t="shared" si="2"/>
        <v>42200000</v>
      </c>
    </row>
    <row r="177" spans="1:6" s="29" customFormat="1" ht="47.25">
      <c r="A177" s="17" t="s">
        <v>134</v>
      </c>
      <c r="B177" s="18" t="s">
        <v>135</v>
      </c>
      <c r="C177" s="18"/>
      <c r="D177" s="25">
        <f>D178</f>
        <v>10000000</v>
      </c>
      <c r="E177" s="22">
        <f>E178</f>
        <v>336041.04000000004</v>
      </c>
      <c r="F177" s="20">
        <f t="shared" si="2"/>
        <v>10336041.04</v>
      </c>
    </row>
    <row r="178" spans="1:6" s="29" customFormat="1" ht="31.5">
      <c r="A178" s="24" t="s">
        <v>14</v>
      </c>
      <c r="B178" s="18" t="s">
        <v>135</v>
      </c>
      <c r="C178" s="18">
        <v>600</v>
      </c>
      <c r="D178" s="25">
        <f>D179+D180</f>
        <v>10000000</v>
      </c>
      <c r="E178" s="22">
        <f>E179+E180</f>
        <v>336041.04000000004</v>
      </c>
      <c r="F178" s="20">
        <f t="shared" si="2"/>
        <v>10336041.04</v>
      </c>
    </row>
    <row r="179" spans="1:6" s="29" customFormat="1" ht="15.75">
      <c r="A179" s="24" t="s">
        <v>15</v>
      </c>
      <c r="B179" s="18" t="s">
        <v>135</v>
      </c>
      <c r="C179" s="18">
        <v>610</v>
      </c>
      <c r="D179" s="25">
        <v>8000000</v>
      </c>
      <c r="E179" s="20">
        <f>-8958.96+202000+45000+98000</f>
        <v>336041.04000000004</v>
      </c>
      <c r="F179" s="20">
        <f t="shared" si="2"/>
        <v>8336041.04</v>
      </c>
    </row>
    <row r="180" spans="1:6" s="29" customFormat="1" ht="15.75">
      <c r="A180" s="24" t="s">
        <v>83</v>
      </c>
      <c r="B180" s="18" t="s">
        <v>135</v>
      </c>
      <c r="C180" s="18">
        <v>620</v>
      </c>
      <c r="D180" s="25">
        <v>2000000</v>
      </c>
      <c r="E180" s="26">
        <v>0</v>
      </c>
      <c r="F180" s="20">
        <f t="shared" si="2"/>
        <v>2000000</v>
      </c>
    </row>
    <row r="181" spans="1:6" s="29" customFormat="1" ht="78.75">
      <c r="A181" s="24" t="s">
        <v>136</v>
      </c>
      <c r="B181" s="18" t="s">
        <v>137</v>
      </c>
      <c r="C181" s="18"/>
      <c r="D181" s="25">
        <f>D182</f>
        <v>0</v>
      </c>
      <c r="E181" s="25">
        <f>E182</f>
        <v>8958958.96</v>
      </c>
      <c r="F181" s="20">
        <f t="shared" si="2"/>
        <v>8958958.96</v>
      </c>
    </row>
    <row r="182" spans="1:6" s="29" customFormat="1" ht="31.5">
      <c r="A182" s="24" t="s">
        <v>14</v>
      </c>
      <c r="B182" s="18" t="s">
        <v>137</v>
      </c>
      <c r="C182" s="18">
        <v>600</v>
      </c>
      <c r="D182" s="25">
        <f>D183</f>
        <v>0</v>
      </c>
      <c r="E182" s="25">
        <f>E183</f>
        <v>8958958.96</v>
      </c>
      <c r="F182" s="20">
        <f t="shared" si="2"/>
        <v>8958958.96</v>
      </c>
    </row>
    <row r="183" spans="1:6" s="29" customFormat="1" ht="15.75">
      <c r="A183" s="24" t="s">
        <v>15</v>
      </c>
      <c r="B183" s="18" t="s">
        <v>137</v>
      </c>
      <c r="C183" s="18">
        <v>610</v>
      </c>
      <c r="D183" s="25">
        <v>0</v>
      </c>
      <c r="E183" s="25">
        <v>8958958.96</v>
      </c>
      <c r="F183" s="20">
        <f t="shared" si="2"/>
        <v>8958958.96</v>
      </c>
    </row>
    <row r="184" spans="1:6" s="29" customFormat="1" ht="31.5">
      <c r="A184" s="17" t="s">
        <v>138</v>
      </c>
      <c r="B184" s="18" t="s">
        <v>139</v>
      </c>
      <c r="C184" s="18"/>
      <c r="D184" s="25">
        <f>D185</f>
        <v>1500000</v>
      </c>
      <c r="E184" s="22">
        <f>E185</f>
        <v>0</v>
      </c>
      <c r="F184" s="20">
        <f t="shared" si="2"/>
        <v>1500000</v>
      </c>
    </row>
    <row r="185" spans="1:6" s="29" customFormat="1" ht="15.75">
      <c r="A185" s="24" t="s">
        <v>17</v>
      </c>
      <c r="B185" s="18" t="s">
        <v>139</v>
      </c>
      <c r="C185" s="18">
        <v>800</v>
      </c>
      <c r="D185" s="25">
        <f>D186</f>
        <v>1500000</v>
      </c>
      <c r="E185" s="22">
        <f>E186</f>
        <v>0</v>
      </c>
      <c r="F185" s="20">
        <f t="shared" si="2"/>
        <v>1500000</v>
      </c>
    </row>
    <row r="186" spans="1:6" s="29" customFormat="1" ht="63">
      <c r="A186" s="24" t="s">
        <v>18</v>
      </c>
      <c r="B186" s="18" t="s">
        <v>139</v>
      </c>
      <c r="C186" s="18">
        <v>810</v>
      </c>
      <c r="D186" s="25">
        <v>1500000</v>
      </c>
      <c r="E186" s="26">
        <v>0</v>
      </c>
      <c r="F186" s="20">
        <f t="shared" si="2"/>
        <v>1500000</v>
      </c>
    </row>
    <row r="187" spans="1:6" s="29" customFormat="1" ht="47.25">
      <c r="A187" s="17" t="s">
        <v>140</v>
      </c>
      <c r="B187" s="18" t="s">
        <v>141</v>
      </c>
      <c r="C187" s="18"/>
      <c r="D187" s="25">
        <f>D188</f>
        <v>6000000</v>
      </c>
      <c r="E187" s="22">
        <f>E188</f>
        <v>0</v>
      </c>
      <c r="F187" s="20">
        <f t="shared" si="2"/>
        <v>6000000</v>
      </c>
    </row>
    <row r="188" spans="1:6" s="29" customFormat="1" ht="15.75">
      <c r="A188" s="24" t="s">
        <v>17</v>
      </c>
      <c r="B188" s="18" t="s">
        <v>141</v>
      </c>
      <c r="C188" s="18">
        <v>800</v>
      </c>
      <c r="D188" s="25">
        <f>D189</f>
        <v>6000000</v>
      </c>
      <c r="E188" s="22">
        <f>E189</f>
        <v>0</v>
      </c>
      <c r="F188" s="20">
        <f t="shared" si="2"/>
        <v>6000000</v>
      </c>
    </row>
    <row r="189" spans="1:6" s="29" customFormat="1" ht="63">
      <c r="A189" s="24" t="s">
        <v>18</v>
      </c>
      <c r="B189" s="18" t="s">
        <v>141</v>
      </c>
      <c r="C189" s="18">
        <v>810</v>
      </c>
      <c r="D189" s="25">
        <v>6000000</v>
      </c>
      <c r="E189" s="26">
        <v>0</v>
      </c>
      <c r="F189" s="20">
        <f t="shared" si="2"/>
        <v>6000000</v>
      </c>
    </row>
    <row r="190" spans="1:6" s="29" customFormat="1" ht="31.5">
      <c r="A190" s="24" t="s">
        <v>142</v>
      </c>
      <c r="B190" s="18" t="s">
        <v>143</v>
      </c>
      <c r="C190" s="18"/>
      <c r="D190" s="19">
        <f>D191</f>
        <v>300000</v>
      </c>
      <c r="E190" s="20">
        <f>E191</f>
        <v>0</v>
      </c>
      <c r="F190" s="20">
        <f t="shared" si="2"/>
        <v>300000</v>
      </c>
    </row>
    <row r="191" spans="1:6" s="29" customFormat="1" ht="31.5">
      <c r="A191" s="28" t="s">
        <v>27</v>
      </c>
      <c r="B191" s="18" t="s">
        <v>143</v>
      </c>
      <c r="C191" s="38" t="s">
        <v>109</v>
      </c>
      <c r="D191" s="19">
        <f>D192</f>
        <v>300000</v>
      </c>
      <c r="E191" s="20">
        <f>E192</f>
        <v>0</v>
      </c>
      <c r="F191" s="20">
        <f t="shared" si="2"/>
        <v>300000</v>
      </c>
    </row>
    <row r="192" spans="1:6" s="29" customFormat="1" ht="31.5">
      <c r="A192" s="28" t="s">
        <v>28</v>
      </c>
      <c r="B192" s="18" t="s">
        <v>143</v>
      </c>
      <c r="C192" s="38" t="s">
        <v>110</v>
      </c>
      <c r="D192" s="19">
        <v>300000</v>
      </c>
      <c r="E192" s="26">
        <v>0</v>
      </c>
      <c r="F192" s="20">
        <f t="shared" si="2"/>
        <v>300000</v>
      </c>
    </row>
    <row r="193" spans="1:6" s="29" customFormat="1" ht="47.25">
      <c r="A193" s="28" t="s">
        <v>144</v>
      </c>
      <c r="B193" s="18" t="s">
        <v>145</v>
      </c>
      <c r="C193" s="38"/>
      <c r="D193" s="19">
        <f>D194</f>
        <v>0</v>
      </c>
      <c r="E193" s="26">
        <f>E194</f>
        <v>200000</v>
      </c>
      <c r="F193" s="20">
        <f t="shared" si="2"/>
        <v>200000</v>
      </c>
    </row>
    <row r="194" spans="1:6" s="29" customFormat="1" ht="31.5">
      <c r="A194" s="24" t="s">
        <v>14</v>
      </c>
      <c r="B194" s="18" t="s">
        <v>145</v>
      </c>
      <c r="C194" s="18">
        <v>600</v>
      </c>
      <c r="D194" s="19">
        <f>D195</f>
        <v>0</v>
      </c>
      <c r="E194" s="26">
        <f>E195</f>
        <v>200000</v>
      </c>
      <c r="F194" s="20">
        <f t="shared" si="2"/>
        <v>200000</v>
      </c>
    </row>
    <row r="195" spans="1:6" s="29" customFormat="1" ht="15.75">
      <c r="A195" s="24" t="s">
        <v>15</v>
      </c>
      <c r="B195" s="18" t="s">
        <v>145</v>
      </c>
      <c r="C195" s="18">
        <v>610</v>
      </c>
      <c r="D195" s="19">
        <v>0</v>
      </c>
      <c r="E195" s="26">
        <v>200000</v>
      </c>
      <c r="F195" s="20">
        <f t="shared" si="2"/>
        <v>200000</v>
      </c>
    </row>
    <row r="196" spans="1:6" s="29" customFormat="1" ht="31.5">
      <c r="A196" s="17" t="s">
        <v>146</v>
      </c>
      <c r="B196" s="18" t="s">
        <v>147</v>
      </c>
      <c r="C196" s="18"/>
      <c r="D196" s="19">
        <f>D197</f>
        <v>370000</v>
      </c>
      <c r="E196" s="20">
        <f>E197</f>
        <v>-85000</v>
      </c>
      <c r="F196" s="20">
        <f t="shared" si="2"/>
        <v>285000</v>
      </c>
    </row>
    <row r="197" spans="1:6" s="29" customFormat="1" ht="31.5">
      <c r="A197" s="24" t="s">
        <v>14</v>
      </c>
      <c r="B197" s="18" t="s">
        <v>147</v>
      </c>
      <c r="C197" s="18">
        <v>600</v>
      </c>
      <c r="D197" s="19">
        <f>D198</f>
        <v>370000</v>
      </c>
      <c r="E197" s="20">
        <f>E198</f>
        <v>-85000</v>
      </c>
      <c r="F197" s="20">
        <f t="shared" si="2"/>
        <v>285000</v>
      </c>
    </row>
    <row r="198" spans="1:6" s="29" customFormat="1" ht="15.75">
      <c r="A198" s="24" t="s">
        <v>15</v>
      </c>
      <c r="B198" s="18" t="s">
        <v>147</v>
      </c>
      <c r="C198" s="18">
        <v>610</v>
      </c>
      <c r="D198" s="19">
        <v>370000</v>
      </c>
      <c r="E198" s="20">
        <f>-45000-40000</f>
        <v>-85000</v>
      </c>
      <c r="F198" s="20">
        <f t="shared" si="2"/>
        <v>285000</v>
      </c>
    </row>
    <row r="199" spans="1:6" s="29" customFormat="1" ht="15.75">
      <c r="A199" s="24" t="s">
        <v>148</v>
      </c>
      <c r="B199" s="18" t="s">
        <v>149</v>
      </c>
      <c r="C199" s="18"/>
      <c r="D199" s="25">
        <f>D200</f>
        <v>400000</v>
      </c>
      <c r="E199" s="22">
        <f>E200</f>
        <v>-310000</v>
      </c>
      <c r="F199" s="20">
        <f t="shared" si="2"/>
        <v>90000</v>
      </c>
    </row>
    <row r="200" spans="1:6" s="29" customFormat="1" ht="31.5">
      <c r="A200" s="24" t="s">
        <v>14</v>
      </c>
      <c r="B200" s="18" t="s">
        <v>149</v>
      </c>
      <c r="C200" s="18">
        <v>600</v>
      </c>
      <c r="D200" s="25">
        <f>D201</f>
        <v>400000</v>
      </c>
      <c r="E200" s="22">
        <f>E201</f>
        <v>-310000</v>
      </c>
      <c r="F200" s="20">
        <f aca="true" t="shared" si="3" ref="F200:F263">SUM(D200:E200)</f>
        <v>90000</v>
      </c>
    </row>
    <row r="201" spans="1:6" s="29" customFormat="1" ht="15.75">
      <c r="A201" s="24" t="s">
        <v>15</v>
      </c>
      <c r="B201" s="18" t="s">
        <v>149</v>
      </c>
      <c r="C201" s="18">
        <v>610</v>
      </c>
      <c r="D201" s="25">
        <v>400000</v>
      </c>
      <c r="E201" s="20">
        <f>-202000-50000-58000</f>
        <v>-310000</v>
      </c>
      <c r="F201" s="20">
        <f t="shared" si="3"/>
        <v>90000</v>
      </c>
    </row>
    <row r="202" spans="1:6" s="29" customFormat="1" ht="31.5">
      <c r="A202" s="17" t="s">
        <v>150</v>
      </c>
      <c r="B202" s="18" t="s">
        <v>151</v>
      </c>
      <c r="C202" s="18"/>
      <c r="D202" s="25">
        <f>SUM(D203,D206)</f>
        <v>49000000</v>
      </c>
      <c r="E202" s="22">
        <f>SUM(E203,E206)</f>
        <v>906192</v>
      </c>
      <c r="F202" s="20">
        <f t="shared" si="3"/>
        <v>49906192</v>
      </c>
    </row>
    <row r="203" spans="1:6" s="29" customFormat="1" ht="31.5">
      <c r="A203" s="17" t="s">
        <v>152</v>
      </c>
      <c r="B203" s="18" t="s">
        <v>153</v>
      </c>
      <c r="C203" s="18"/>
      <c r="D203" s="25">
        <f>D204</f>
        <v>47400000</v>
      </c>
      <c r="E203" s="22">
        <f>E204</f>
        <v>826192</v>
      </c>
      <c r="F203" s="20">
        <f t="shared" si="3"/>
        <v>48226192</v>
      </c>
    </row>
    <row r="204" spans="1:6" s="29" customFormat="1" ht="31.5">
      <c r="A204" s="24" t="s">
        <v>14</v>
      </c>
      <c r="B204" s="18" t="s">
        <v>153</v>
      </c>
      <c r="C204" s="18">
        <v>600</v>
      </c>
      <c r="D204" s="25">
        <f>D205</f>
        <v>47400000</v>
      </c>
      <c r="E204" s="22">
        <f>E205</f>
        <v>826192</v>
      </c>
      <c r="F204" s="20">
        <f t="shared" si="3"/>
        <v>48226192</v>
      </c>
    </row>
    <row r="205" spans="1:6" s="29" customFormat="1" ht="15.75">
      <c r="A205" s="24" t="s">
        <v>15</v>
      </c>
      <c r="B205" s="18" t="s">
        <v>153</v>
      </c>
      <c r="C205" s="18">
        <v>610</v>
      </c>
      <c r="D205" s="25">
        <v>47400000</v>
      </c>
      <c r="E205" s="20">
        <f>-80000+906192</f>
        <v>826192</v>
      </c>
      <c r="F205" s="20">
        <f t="shared" si="3"/>
        <v>48226192</v>
      </c>
    </row>
    <row r="206" spans="1:6" s="29" customFormat="1" ht="47.25">
      <c r="A206" s="17" t="s">
        <v>154</v>
      </c>
      <c r="B206" s="18" t="s">
        <v>155</v>
      </c>
      <c r="C206" s="18"/>
      <c r="D206" s="25">
        <f>D207</f>
        <v>1600000</v>
      </c>
      <c r="E206" s="22">
        <f>E207</f>
        <v>80000</v>
      </c>
      <c r="F206" s="20">
        <f t="shared" si="3"/>
        <v>1680000</v>
      </c>
    </row>
    <row r="207" spans="1:6" s="29" customFormat="1" ht="31.5">
      <c r="A207" s="24" t="s">
        <v>14</v>
      </c>
      <c r="B207" s="18" t="s">
        <v>155</v>
      </c>
      <c r="C207" s="18">
        <v>600</v>
      </c>
      <c r="D207" s="25">
        <f>D208</f>
        <v>1600000</v>
      </c>
      <c r="E207" s="22">
        <f>E208</f>
        <v>80000</v>
      </c>
      <c r="F207" s="20">
        <f t="shared" si="3"/>
        <v>1680000</v>
      </c>
    </row>
    <row r="208" spans="1:6" s="29" customFormat="1" ht="15.75">
      <c r="A208" s="24" t="s">
        <v>15</v>
      </c>
      <c r="B208" s="18" t="s">
        <v>155</v>
      </c>
      <c r="C208" s="18">
        <v>610</v>
      </c>
      <c r="D208" s="25">
        <v>1600000</v>
      </c>
      <c r="E208" s="20">
        <v>80000</v>
      </c>
      <c r="F208" s="20">
        <f t="shared" si="3"/>
        <v>1680000</v>
      </c>
    </row>
    <row r="209" spans="1:6" s="12" customFormat="1" ht="31.5">
      <c r="A209" s="17" t="s">
        <v>156</v>
      </c>
      <c r="B209" s="18" t="s">
        <v>157</v>
      </c>
      <c r="C209" s="18"/>
      <c r="D209" s="25">
        <f>SUM(D210,D213)</f>
        <v>25100000</v>
      </c>
      <c r="E209" s="22">
        <f>SUM(E210,E213)</f>
        <v>2667798</v>
      </c>
      <c r="F209" s="20">
        <f t="shared" si="3"/>
        <v>27767798</v>
      </c>
    </row>
    <row r="210" spans="1:6" s="29" customFormat="1" ht="15.75">
      <c r="A210" s="17" t="s">
        <v>158</v>
      </c>
      <c r="B210" s="18" t="s">
        <v>159</v>
      </c>
      <c r="C210" s="18"/>
      <c r="D210" s="25">
        <f>D211</f>
        <v>23100000</v>
      </c>
      <c r="E210" s="22">
        <f>E211</f>
        <v>2667798</v>
      </c>
      <c r="F210" s="20">
        <f t="shared" si="3"/>
        <v>25767798</v>
      </c>
    </row>
    <row r="211" spans="1:6" s="29" customFormat="1" ht="31.5">
      <c r="A211" s="24" t="s">
        <v>14</v>
      </c>
      <c r="B211" s="18" t="s">
        <v>159</v>
      </c>
      <c r="C211" s="18">
        <v>600</v>
      </c>
      <c r="D211" s="25">
        <f>D212</f>
        <v>23100000</v>
      </c>
      <c r="E211" s="22">
        <f>E212</f>
        <v>2667798</v>
      </c>
      <c r="F211" s="20">
        <f t="shared" si="3"/>
        <v>25767798</v>
      </c>
    </row>
    <row r="212" spans="1:6" s="29" customFormat="1" ht="15.75">
      <c r="A212" s="24" t="s">
        <v>15</v>
      </c>
      <c r="B212" s="18" t="s">
        <v>159</v>
      </c>
      <c r="C212" s="18">
        <v>610</v>
      </c>
      <c r="D212" s="25">
        <v>23100000</v>
      </c>
      <c r="E212" s="20">
        <f>205716+2462082</f>
        <v>2667798</v>
      </c>
      <c r="F212" s="20">
        <f t="shared" si="3"/>
        <v>25767798</v>
      </c>
    </row>
    <row r="213" spans="1:6" s="29" customFormat="1" ht="47.25">
      <c r="A213" s="17" t="s">
        <v>160</v>
      </c>
      <c r="B213" s="18" t="s">
        <v>161</v>
      </c>
      <c r="C213" s="18"/>
      <c r="D213" s="25">
        <f>D214</f>
        <v>2000000</v>
      </c>
      <c r="E213" s="22">
        <f>E214</f>
        <v>0</v>
      </c>
      <c r="F213" s="20">
        <f t="shared" si="3"/>
        <v>2000000</v>
      </c>
    </row>
    <row r="214" spans="1:6" s="29" customFormat="1" ht="31.5">
      <c r="A214" s="24" t="s">
        <v>14</v>
      </c>
      <c r="B214" s="18" t="s">
        <v>161</v>
      </c>
      <c r="C214" s="18">
        <v>600</v>
      </c>
      <c r="D214" s="25">
        <f>D215</f>
        <v>2000000</v>
      </c>
      <c r="E214" s="22">
        <f>E215</f>
        <v>0</v>
      </c>
      <c r="F214" s="20">
        <f t="shared" si="3"/>
        <v>2000000</v>
      </c>
    </row>
    <row r="215" spans="1:6" s="29" customFormat="1" ht="15.75">
      <c r="A215" s="24" t="s">
        <v>15</v>
      </c>
      <c r="B215" s="18" t="s">
        <v>161</v>
      </c>
      <c r="C215" s="18">
        <v>610</v>
      </c>
      <c r="D215" s="25">
        <v>2000000</v>
      </c>
      <c r="E215" s="26">
        <v>0</v>
      </c>
      <c r="F215" s="20">
        <f t="shared" si="3"/>
        <v>2000000</v>
      </c>
    </row>
    <row r="216" spans="1:6" s="29" customFormat="1" ht="47.25">
      <c r="A216" s="17" t="s">
        <v>162</v>
      </c>
      <c r="B216" s="18" t="s">
        <v>163</v>
      </c>
      <c r="C216" s="18"/>
      <c r="D216" s="19">
        <f>SUM(D217,D220)</f>
        <v>103170000</v>
      </c>
      <c r="E216" s="20">
        <f>SUM(E217,E220)</f>
        <v>13061381</v>
      </c>
      <c r="F216" s="20">
        <f t="shared" si="3"/>
        <v>116231381</v>
      </c>
    </row>
    <row r="217" spans="1:6" s="29" customFormat="1" ht="31.5">
      <c r="A217" s="17" t="s">
        <v>164</v>
      </c>
      <c r="B217" s="18" t="s">
        <v>165</v>
      </c>
      <c r="C217" s="18"/>
      <c r="D217" s="19">
        <f>D218</f>
        <v>102170000</v>
      </c>
      <c r="E217" s="20">
        <f>E218</f>
        <v>13061381</v>
      </c>
      <c r="F217" s="20">
        <f t="shared" si="3"/>
        <v>115231381</v>
      </c>
    </row>
    <row r="218" spans="1:6" s="29" customFormat="1" ht="31.5">
      <c r="A218" s="24" t="s">
        <v>14</v>
      </c>
      <c r="B218" s="18" t="s">
        <v>165</v>
      </c>
      <c r="C218" s="18">
        <v>600</v>
      </c>
      <c r="D218" s="19">
        <f>D219</f>
        <v>102170000</v>
      </c>
      <c r="E218" s="20">
        <f>E219</f>
        <v>13061381</v>
      </c>
      <c r="F218" s="20">
        <f t="shared" si="3"/>
        <v>115231381</v>
      </c>
    </row>
    <row r="219" spans="1:6" s="29" customFormat="1" ht="15.75">
      <c r="A219" s="24" t="s">
        <v>15</v>
      </c>
      <c r="B219" s="18" t="s">
        <v>165</v>
      </c>
      <c r="C219" s="18">
        <v>610</v>
      </c>
      <c r="D219" s="19">
        <v>102170000</v>
      </c>
      <c r="E219" s="20">
        <f>1278564+11782817</f>
        <v>13061381</v>
      </c>
      <c r="F219" s="20">
        <f t="shared" si="3"/>
        <v>115231381</v>
      </c>
    </row>
    <row r="220" spans="1:6" s="29" customFormat="1" ht="47.25">
      <c r="A220" s="17" t="s">
        <v>166</v>
      </c>
      <c r="B220" s="18" t="s">
        <v>167</v>
      </c>
      <c r="C220" s="18"/>
      <c r="D220" s="19">
        <f>D221</f>
        <v>1000000</v>
      </c>
      <c r="E220" s="20">
        <f>E221</f>
        <v>0</v>
      </c>
      <c r="F220" s="20">
        <f t="shared" si="3"/>
        <v>1000000</v>
      </c>
    </row>
    <row r="221" spans="1:6" s="29" customFormat="1" ht="31.5">
      <c r="A221" s="24" t="s">
        <v>14</v>
      </c>
      <c r="B221" s="18" t="s">
        <v>167</v>
      </c>
      <c r="C221" s="18">
        <v>600</v>
      </c>
      <c r="D221" s="19">
        <f>D222</f>
        <v>1000000</v>
      </c>
      <c r="E221" s="20">
        <f>E222</f>
        <v>0</v>
      </c>
      <c r="F221" s="20">
        <f t="shared" si="3"/>
        <v>1000000</v>
      </c>
    </row>
    <row r="222" spans="1:6" s="29" customFormat="1" ht="15.75">
      <c r="A222" s="24" t="s">
        <v>15</v>
      </c>
      <c r="B222" s="18" t="s">
        <v>167</v>
      </c>
      <c r="C222" s="18">
        <v>610</v>
      </c>
      <c r="D222" s="19">
        <v>1000000</v>
      </c>
      <c r="E222" s="26">
        <v>0</v>
      </c>
      <c r="F222" s="20">
        <f t="shared" si="3"/>
        <v>1000000</v>
      </c>
    </row>
    <row r="223" spans="1:6" s="29" customFormat="1" ht="47.25">
      <c r="A223" s="24" t="s">
        <v>168</v>
      </c>
      <c r="B223" s="18" t="s">
        <v>169</v>
      </c>
      <c r="C223" s="18"/>
      <c r="D223" s="19">
        <f>SUM(D224,D231)</f>
        <v>41956000</v>
      </c>
      <c r="E223" s="20">
        <f>SUM(E224,E231)</f>
        <v>-70000</v>
      </c>
      <c r="F223" s="20">
        <f t="shared" si="3"/>
        <v>41886000</v>
      </c>
    </row>
    <row r="224" spans="1:6" s="12" customFormat="1" ht="31.5">
      <c r="A224" s="24" t="s">
        <v>170</v>
      </c>
      <c r="B224" s="18" t="s">
        <v>171</v>
      </c>
      <c r="C224" s="18"/>
      <c r="D224" s="19">
        <f>SUM(D225,D227,D229)</f>
        <v>5753000</v>
      </c>
      <c r="E224" s="20">
        <f>SUM(E225,E227,E229)</f>
        <v>0</v>
      </c>
      <c r="F224" s="20">
        <f t="shared" si="3"/>
        <v>5753000</v>
      </c>
    </row>
    <row r="225" spans="1:6" s="12" customFormat="1" ht="78.75">
      <c r="A225" s="37" t="s">
        <v>105</v>
      </c>
      <c r="B225" s="18" t="s">
        <v>171</v>
      </c>
      <c r="C225" s="38" t="s">
        <v>106</v>
      </c>
      <c r="D225" s="19">
        <f>D226</f>
        <v>5400000</v>
      </c>
      <c r="E225" s="20">
        <f>E226</f>
        <v>0</v>
      </c>
      <c r="F225" s="20">
        <f t="shared" si="3"/>
        <v>5400000</v>
      </c>
    </row>
    <row r="226" spans="1:6" s="12" customFormat="1" ht="31.5">
      <c r="A226" s="37" t="s">
        <v>107</v>
      </c>
      <c r="B226" s="18" t="s">
        <v>171</v>
      </c>
      <c r="C226" s="38" t="s">
        <v>108</v>
      </c>
      <c r="D226" s="25">
        <v>5400000</v>
      </c>
      <c r="E226" s="26">
        <v>0</v>
      </c>
      <c r="F226" s="20">
        <f t="shared" si="3"/>
        <v>5400000</v>
      </c>
    </row>
    <row r="227" spans="1:6" s="12" customFormat="1" ht="31.5">
      <c r="A227" s="28" t="s">
        <v>27</v>
      </c>
      <c r="B227" s="18" t="s">
        <v>171</v>
      </c>
      <c r="C227" s="38" t="s">
        <v>109</v>
      </c>
      <c r="D227" s="25">
        <f>D228</f>
        <v>350000</v>
      </c>
      <c r="E227" s="22">
        <f>E228</f>
        <v>0</v>
      </c>
      <c r="F227" s="20">
        <f t="shared" si="3"/>
        <v>350000</v>
      </c>
    </row>
    <row r="228" spans="1:6" s="12" customFormat="1" ht="31.5">
      <c r="A228" s="28" t="s">
        <v>28</v>
      </c>
      <c r="B228" s="18" t="s">
        <v>171</v>
      </c>
      <c r="C228" s="38" t="s">
        <v>110</v>
      </c>
      <c r="D228" s="25">
        <v>350000</v>
      </c>
      <c r="E228" s="26">
        <v>0</v>
      </c>
      <c r="F228" s="20">
        <f t="shared" si="3"/>
        <v>350000</v>
      </c>
    </row>
    <row r="229" spans="1:6" s="12" customFormat="1" ht="15.75">
      <c r="A229" s="28" t="s">
        <v>17</v>
      </c>
      <c r="B229" s="18" t="s">
        <v>171</v>
      </c>
      <c r="C229" s="38" t="s">
        <v>111</v>
      </c>
      <c r="D229" s="25">
        <f>D230</f>
        <v>3000</v>
      </c>
      <c r="E229" s="22">
        <f>E230</f>
        <v>0</v>
      </c>
      <c r="F229" s="20">
        <f t="shared" si="3"/>
        <v>3000</v>
      </c>
    </row>
    <row r="230" spans="1:6" s="12" customFormat="1" ht="15.75">
      <c r="A230" s="28" t="s">
        <v>112</v>
      </c>
      <c r="B230" s="18" t="s">
        <v>171</v>
      </c>
      <c r="C230" s="38" t="s">
        <v>113</v>
      </c>
      <c r="D230" s="25">
        <v>3000</v>
      </c>
      <c r="E230" s="26">
        <v>0</v>
      </c>
      <c r="F230" s="20">
        <f t="shared" si="3"/>
        <v>3000</v>
      </c>
    </row>
    <row r="231" spans="1:6" s="12" customFormat="1" ht="31.5">
      <c r="A231" s="24" t="s">
        <v>172</v>
      </c>
      <c r="B231" s="18" t="s">
        <v>173</v>
      </c>
      <c r="C231" s="18"/>
      <c r="D231" s="25">
        <f>SUM(D232,D234,D236)</f>
        <v>36203000</v>
      </c>
      <c r="E231" s="22">
        <f>SUM(E232,E234,E236)</f>
        <v>-70000</v>
      </c>
      <c r="F231" s="20">
        <f t="shared" si="3"/>
        <v>36133000</v>
      </c>
    </row>
    <row r="232" spans="1:6" s="29" customFormat="1" ht="78.75">
      <c r="A232" s="37" t="s">
        <v>105</v>
      </c>
      <c r="B232" s="18" t="s">
        <v>173</v>
      </c>
      <c r="C232" s="18">
        <v>100</v>
      </c>
      <c r="D232" s="25">
        <f>D233</f>
        <v>34800000</v>
      </c>
      <c r="E232" s="22">
        <f>E233</f>
        <v>-123187</v>
      </c>
      <c r="F232" s="20">
        <f t="shared" si="3"/>
        <v>34676813</v>
      </c>
    </row>
    <row r="233" spans="1:6" s="29" customFormat="1" ht="15.75">
      <c r="A233" s="37" t="s">
        <v>116</v>
      </c>
      <c r="B233" s="18" t="s">
        <v>173</v>
      </c>
      <c r="C233" s="18">
        <v>110</v>
      </c>
      <c r="D233" s="25">
        <v>34800000</v>
      </c>
      <c r="E233" s="26">
        <v>-123187</v>
      </c>
      <c r="F233" s="20">
        <f t="shared" si="3"/>
        <v>34676813</v>
      </c>
    </row>
    <row r="234" spans="1:6" s="29" customFormat="1" ht="31.5">
      <c r="A234" s="28" t="s">
        <v>27</v>
      </c>
      <c r="B234" s="18" t="s">
        <v>173</v>
      </c>
      <c r="C234" s="18">
        <v>200</v>
      </c>
      <c r="D234" s="25">
        <f>D235</f>
        <v>1400000</v>
      </c>
      <c r="E234" s="22">
        <f>E235</f>
        <v>-70000</v>
      </c>
      <c r="F234" s="20">
        <f t="shared" si="3"/>
        <v>1330000</v>
      </c>
    </row>
    <row r="235" spans="1:6" s="29" customFormat="1" ht="31.5">
      <c r="A235" s="28" t="s">
        <v>28</v>
      </c>
      <c r="B235" s="18" t="s">
        <v>173</v>
      </c>
      <c r="C235" s="18">
        <v>240</v>
      </c>
      <c r="D235" s="25">
        <v>1400000</v>
      </c>
      <c r="E235" s="26">
        <v>-70000</v>
      </c>
      <c r="F235" s="20">
        <f t="shared" si="3"/>
        <v>1330000</v>
      </c>
    </row>
    <row r="236" spans="1:6" s="12" customFormat="1" ht="15.75">
      <c r="A236" s="28" t="s">
        <v>17</v>
      </c>
      <c r="B236" s="18" t="s">
        <v>173</v>
      </c>
      <c r="C236" s="38" t="s">
        <v>111</v>
      </c>
      <c r="D236" s="25">
        <f>D237</f>
        <v>3000</v>
      </c>
      <c r="E236" s="22">
        <f>E237</f>
        <v>123187</v>
      </c>
      <c r="F236" s="20">
        <f t="shared" si="3"/>
        <v>126187</v>
      </c>
    </row>
    <row r="237" spans="1:6" s="29" customFormat="1" ht="15.75">
      <c r="A237" s="28" t="s">
        <v>112</v>
      </c>
      <c r="B237" s="18" t="s">
        <v>173</v>
      </c>
      <c r="C237" s="38" t="s">
        <v>113</v>
      </c>
      <c r="D237" s="25">
        <v>3000</v>
      </c>
      <c r="E237" s="26">
        <v>123187</v>
      </c>
      <c r="F237" s="20">
        <f t="shared" si="3"/>
        <v>126187</v>
      </c>
    </row>
    <row r="238" spans="1:6" s="12" customFormat="1" ht="31.5">
      <c r="A238" s="13" t="s">
        <v>174</v>
      </c>
      <c r="B238" s="14" t="s">
        <v>175</v>
      </c>
      <c r="C238" s="14"/>
      <c r="D238" s="15">
        <f>SUM(D239,D242)</f>
        <v>8350000</v>
      </c>
      <c r="E238" s="16">
        <f>SUM(E239,E242)</f>
        <v>0</v>
      </c>
      <c r="F238" s="16">
        <f t="shared" si="3"/>
        <v>8350000</v>
      </c>
    </row>
    <row r="239" spans="1:6" s="12" customFormat="1" ht="31.5">
      <c r="A239" s="24" t="s">
        <v>176</v>
      </c>
      <c r="B239" s="18" t="s">
        <v>177</v>
      </c>
      <c r="C239" s="18"/>
      <c r="D239" s="19">
        <f>D240</f>
        <v>600000</v>
      </c>
      <c r="E239" s="20">
        <f>E240</f>
        <v>0</v>
      </c>
      <c r="F239" s="20">
        <f t="shared" si="3"/>
        <v>600000</v>
      </c>
    </row>
    <row r="240" spans="1:6" s="12" customFormat="1" ht="31.5">
      <c r="A240" s="24" t="s">
        <v>14</v>
      </c>
      <c r="B240" s="18" t="s">
        <v>177</v>
      </c>
      <c r="C240" s="18">
        <v>600</v>
      </c>
      <c r="D240" s="19">
        <f>D241</f>
        <v>600000</v>
      </c>
      <c r="E240" s="20">
        <f>E241</f>
        <v>0</v>
      </c>
      <c r="F240" s="20">
        <f t="shared" si="3"/>
        <v>600000</v>
      </c>
    </row>
    <row r="241" spans="1:6" s="12" customFormat="1" ht="15.75">
      <c r="A241" s="24" t="s">
        <v>15</v>
      </c>
      <c r="B241" s="18" t="s">
        <v>177</v>
      </c>
      <c r="C241" s="18">
        <v>610</v>
      </c>
      <c r="D241" s="19">
        <v>600000</v>
      </c>
      <c r="E241" s="26">
        <v>0</v>
      </c>
      <c r="F241" s="20">
        <f t="shared" si="3"/>
        <v>600000</v>
      </c>
    </row>
    <row r="242" spans="1:6" s="29" customFormat="1" ht="31.5">
      <c r="A242" s="24" t="s">
        <v>178</v>
      </c>
      <c r="B242" s="18" t="s">
        <v>179</v>
      </c>
      <c r="C242" s="18"/>
      <c r="D242" s="19">
        <f>D243</f>
        <v>7750000</v>
      </c>
      <c r="E242" s="20">
        <f>E243</f>
        <v>0</v>
      </c>
      <c r="F242" s="20">
        <f t="shared" si="3"/>
        <v>7750000</v>
      </c>
    </row>
    <row r="243" spans="1:6" s="29" customFormat="1" ht="31.5">
      <c r="A243" s="24" t="s">
        <v>14</v>
      </c>
      <c r="B243" s="18" t="s">
        <v>179</v>
      </c>
      <c r="C243" s="18">
        <v>600</v>
      </c>
      <c r="D243" s="19">
        <f>D244</f>
        <v>7750000</v>
      </c>
      <c r="E243" s="20">
        <f>E244</f>
        <v>0</v>
      </c>
      <c r="F243" s="20">
        <f t="shared" si="3"/>
        <v>7750000</v>
      </c>
    </row>
    <row r="244" spans="1:6" s="29" customFormat="1" ht="15.75">
      <c r="A244" s="24" t="s">
        <v>15</v>
      </c>
      <c r="B244" s="18" t="s">
        <v>179</v>
      </c>
      <c r="C244" s="18">
        <v>610</v>
      </c>
      <c r="D244" s="19">
        <v>7750000</v>
      </c>
      <c r="E244" s="26">
        <v>0</v>
      </c>
      <c r="F244" s="20">
        <f t="shared" si="3"/>
        <v>7750000</v>
      </c>
    </row>
    <row r="245" spans="1:6" s="29" customFormat="1" ht="31.5">
      <c r="A245" s="13" t="s">
        <v>180</v>
      </c>
      <c r="B245" s="14" t="s">
        <v>181</v>
      </c>
      <c r="C245" s="14"/>
      <c r="D245" s="15">
        <f>SUM(D246,D249,D255,D258,D262,D252)</f>
        <v>133982580</v>
      </c>
      <c r="E245" s="15">
        <f>SUM(E246,E249,E255,E258,E262,E252)</f>
        <v>6700000</v>
      </c>
      <c r="F245" s="16">
        <f t="shared" si="3"/>
        <v>140682580</v>
      </c>
    </row>
    <row r="246" spans="1:6" s="29" customFormat="1" ht="31.5">
      <c r="A246" s="41" t="s">
        <v>182</v>
      </c>
      <c r="B246" s="18" t="s">
        <v>183</v>
      </c>
      <c r="C246" s="18"/>
      <c r="D246" s="19">
        <f>D247</f>
        <v>2400000</v>
      </c>
      <c r="E246" s="20">
        <f>E247</f>
        <v>-399000</v>
      </c>
      <c r="F246" s="20">
        <f t="shared" si="3"/>
        <v>2001000</v>
      </c>
    </row>
    <row r="247" spans="1:6" s="12" customFormat="1" ht="31.5">
      <c r="A247" s="24" t="s">
        <v>14</v>
      </c>
      <c r="B247" s="18" t="s">
        <v>183</v>
      </c>
      <c r="C247" s="18">
        <v>600</v>
      </c>
      <c r="D247" s="19">
        <f>D248</f>
        <v>2400000</v>
      </c>
      <c r="E247" s="20">
        <f>E248</f>
        <v>-399000</v>
      </c>
      <c r="F247" s="20">
        <f t="shared" si="3"/>
        <v>2001000</v>
      </c>
    </row>
    <row r="248" spans="1:6" s="29" customFormat="1" ht="15.75">
      <c r="A248" s="24" t="s">
        <v>83</v>
      </c>
      <c r="B248" s="18" t="s">
        <v>183</v>
      </c>
      <c r="C248" s="18">
        <v>620</v>
      </c>
      <c r="D248" s="19">
        <v>2400000</v>
      </c>
      <c r="E248" s="20">
        <f>-99000-300000</f>
        <v>-399000</v>
      </c>
      <c r="F248" s="20">
        <f t="shared" si="3"/>
        <v>2001000</v>
      </c>
    </row>
    <row r="249" spans="1:6" s="29" customFormat="1" ht="31.5">
      <c r="A249" s="24" t="s">
        <v>184</v>
      </c>
      <c r="B249" s="18" t="s">
        <v>185</v>
      </c>
      <c r="C249" s="18"/>
      <c r="D249" s="19">
        <f>D250</f>
        <v>11900000</v>
      </c>
      <c r="E249" s="20">
        <f>E250</f>
        <v>-6007</v>
      </c>
      <c r="F249" s="20">
        <f t="shared" si="3"/>
        <v>11893993</v>
      </c>
    </row>
    <row r="250" spans="1:6" s="29" customFormat="1" ht="15.75">
      <c r="A250" s="24" t="s">
        <v>17</v>
      </c>
      <c r="B250" s="18" t="s">
        <v>185</v>
      </c>
      <c r="C250" s="18">
        <v>800</v>
      </c>
      <c r="D250" s="19">
        <f>D251</f>
        <v>11900000</v>
      </c>
      <c r="E250" s="20">
        <f>E251</f>
        <v>-6007</v>
      </c>
      <c r="F250" s="20">
        <f t="shared" si="3"/>
        <v>11893993</v>
      </c>
    </row>
    <row r="251" spans="1:6" s="29" customFormat="1" ht="63">
      <c r="A251" s="24" t="s">
        <v>18</v>
      </c>
      <c r="B251" s="18" t="s">
        <v>185</v>
      </c>
      <c r="C251" s="18">
        <v>810</v>
      </c>
      <c r="D251" s="19">
        <v>11900000</v>
      </c>
      <c r="E251" s="20">
        <v>-6007</v>
      </c>
      <c r="F251" s="20">
        <f t="shared" si="3"/>
        <v>11893993</v>
      </c>
    </row>
    <row r="252" spans="1:6" s="29" customFormat="1" ht="63">
      <c r="A252" s="24" t="s">
        <v>186</v>
      </c>
      <c r="B252" s="18" t="s">
        <v>185</v>
      </c>
      <c r="C252" s="18"/>
      <c r="D252" s="22">
        <f>D253</f>
        <v>0</v>
      </c>
      <c r="E252" s="22">
        <f>E253</f>
        <v>6006007</v>
      </c>
      <c r="F252" s="23">
        <f t="shared" si="3"/>
        <v>6006007</v>
      </c>
    </row>
    <row r="253" spans="1:6" s="29" customFormat="1" ht="15.75">
      <c r="A253" s="24" t="s">
        <v>17</v>
      </c>
      <c r="B253" s="18" t="s">
        <v>185</v>
      </c>
      <c r="C253" s="18">
        <v>800</v>
      </c>
      <c r="D253" s="22">
        <f>D254</f>
        <v>0</v>
      </c>
      <c r="E253" s="22">
        <f>E254</f>
        <v>6006007</v>
      </c>
      <c r="F253" s="23">
        <f t="shared" si="3"/>
        <v>6006007</v>
      </c>
    </row>
    <row r="254" spans="1:6" s="29" customFormat="1" ht="63">
      <c r="A254" s="24" t="s">
        <v>18</v>
      </c>
      <c r="B254" s="18" t="s">
        <v>185</v>
      </c>
      <c r="C254" s="18">
        <v>810</v>
      </c>
      <c r="D254" s="22"/>
      <c r="E254" s="20">
        <f>6000000+6007</f>
        <v>6006007</v>
      </c>
      <c r="F254" s="23">
        <f t="shared" si="3"/>
        <v>6006007</v>
      </c>
    </row>
    <row r="255" spans="1:6" s="29" customFormat="1" ht="47.25">
      <c r="A255" s="24" t="s">
        <v>187</v>
      </c>
      <c r="B255" s="18" t="s">
        <v>188</v>
      </c>
      <c r="C255" s="18"/>
      <c r="D255" s="19">
        <f>D256</f>
        <v>25000000</v>
      </c>
      <c r="E255" s="20">
        <f>E256</f>
        <v>2500000</v>
      </c>
      <c r="F255" s="20">
        <f t="shared" si="3"/>
        <v>27500000</v>
      </c>
    </row>
    <row r="256" spans="1:6" s="29" customFormat="1" ht="15.75">
      <c r="A256" s="24" t="s">
        <v>17</v>
      </c>
      <c r="B256" s="18" t="s">
        <v>188</v>
      </c>
      <c r="C256" s="18">
        <v>800</v>
      </c>
      <c r="D256" s="19">
        <f>D257</f>
        <v>25000000</v>
      </c>
      <c r="E256" s="20">
        <f>E257</f>
        <v>2500000</v>
      </c>
      <c r="F256" s="20">
        <f t="shared" si="3"/>
        <v>27500000</v>
      </c>
    </row>
    <row r="257" spans="1:6" s="29" customFormat="1" ht="63">
      <c r="A257" s="24" t="s">
        <v>18</v>
      </c>
      <c r="B257" s="18" t="s">
        <v>188</v>
      </c>
      <c r="C257" s="18">
        <v>810</v>
      </c>
      <c r="D257" s="19">
        <v>25000000</v>
      </c>
      <c r="E257" s="26">
        <v>2500000</v>
      </c>
      <c r="F257" s="20">
        <f t="shared" si="3"/>
        <v>27500000</v>
      </c>
    </row>
    <row r="258" spans="1:6" s="29" customFormat="1" ht="47.25">
      <c r="A258" s="24" t="s">
        <v>189</v>
      </c>
      <c r="B258" s="18" t="s">
        <v>190</v>
      </c>
      <c r="C258" s="18"/>
      <c r="D258" s="19">
        <f>D259</f>
        <v>94035268.89</v>
      </c>
      <c r="E258" s="20">
        <f>E259</f>
        <v>-1401000</v>
      </c>
      <c r="F258" s="20">
        <f t="shared" si="3"/>
        <v>92634268.89</v>
      </c>
    </row>
    <row r="259" spans="1:6" s="29" customFormat="1" ht="31.5">
      <c r="A259" s="24" t="s">
        <v>14</v>
      </c>
      <c r="B259" s="18" t="s">
        <v>190</v>
      </c>
      <c r="C259" s="18">
        <v>600</v>
      </c>
      <c r="D259" s="19">
        <f>D260+D261</f>
        <v>94035268.89</v>
      </c>
      <c r="E259" s="20">
        <f>E260+E261</f>
        <v>-1401000</v>
      </c>
      <c r="F259" s="20">
        <f t="shared" si="3"/>
        <v>92634268.89</v>
      </c>
    </row>
    <row r="260" spans="1:6" s="29" customFormat="1" ht="15.75">
      <c r="A260" s="24" t="s">
        <v>15</v>
      </c>
      <c r="B260" s="18" t="s">
        <v>190</v>
      </c>
      <c r="C260" s="18">
        <v>610</v>
      </c>
      <c r="D260" s="19">
        <v>27000000</v>
      </c>
      <c r="E260" s="26">
        <v>0</v>
      </c>
      <c r="F260" s="20">
        <f t="shared" si="3"/>
        <v>27000000</v>
      </c>
    </row>
    <row r="261" spans="1:6" s="29" customFormat="1" ht="15.75">
      <c r="A261" s="24" t="s">
        <v>83</v>
      </c>
      <c r="B261" s="18" t="s">
        <v>190</v>
      </c>
      <c r="C261" s="18">
        <v>620</v>
      </c>
      <c r="D261" s="19">
        <v>67035268.89</v>
      </c>
      <c r="E261" s="20">
        <f>-3000000+99000+300000+800000+400000</f>
        <v>-1401000</v>
      </c>
      <c r="F261" s="20">
        <f t="shared" si="3"/>
        <v>65634268.89</v>
      </c>
    </row>
    <row r="262" spans="1:6" s="29" customFormat="1" ht="78.75">
      <c r="A262" s="24" t="s">
        <v>191</v>
      </c>
      <c r="B262" s="18" t="s">
        <v>192</v>
      </c>
      <c r="C262" s="18"/>
      <c r="D262" s="19">
        <f>D263</f>
        <v>647311.11</v>
      </c>
      <c r="E262" s="20">
        <f>E263</f>
        <v>0</v>
      </c>
      <c r="F262" s="20">
        <f t="shared" si="3"/>
        <v>647311.11</v>
      </c>
    </row>
    <row r="263" spans="1:6" s="29" customFormat="1" ht="31.5">
      <c r="A263" s="24" t="s">
        <v>14</v>
      </c>
      <c r="B263" s="18" t="s">
        <v>192</v>
      </c>
      <c r="C263" s="18">
        <v>600</v>
      </c>
      <c r="D263" s="19">
        <f>D264</f>
        <v>647311.11</v>
      </c>
      <c r="E263" s="20">
        <f>E264</f>
        <v>0</v>
      </c>
      <c r="F263" s="20">
        <f t="shared" si="3"/>
        <v>647311.11</v>
      </c>
    </row>
    <row r="264" spans="1:6" s="29" customFormat="1" ht="15.75">
      <c r="A264" s="24" t="s">
        <v>83</v>
      </c>
      <c r="B264" s="18" t="s">
        <v>192</v>
      </c>
      <c r="C264" s="18">
        <v>620</v>
      </c>
      <c r="D264" s="19">
        <v>647311.11</v>
      </c>
      <c r="E264" s="26">
        <v>0</v>
      </c>
      <c r="F264" s="20">
        <f aca="true" t="shared" si="4" ref="F264:F327">SUM(D264:E264)</f>
        <v>647311.11</v>
      </c>
    </row>
    <row r="265" spans="1:6" s="29" customFormat="1" ht="31.5">
      <c r="A265" s="13" t="s">
        <v>193</v>
      </c>
      <c r="B265" s="14" t="s">
        <v>194</v>
      </c>
      <c r="C265" s="14"/>
      <c r="D265" s="15">
        <f>SUM(D266,D378,D401,D411,D407)</f>
        <v>755133795.88</v>
      </c>
      <c r="E265" s="16">
        <f>SUM(E266,E378,E401,E411,E407)</f>
        <v>184678842.88</v>
      </c>
      <c r="F265" s="16">
        <f t="shared" si="4"/>
        <v>939812638.76</v>
      </c>
    </row>
    <row r="266" spans="1:6" s="29" customFormat="1" ht="47.25">
      <c r="A266" s="24" t="s">
        <v>195</v>
      </c>
      <c r="B266" s="18" t="s">
        <v>196</v>
      </c>
      <c r="C266" s="18"/>
      <c r="D266" s="19">
        <f>SUM(D267,D272,D277,D282,D287,D292,D297,D303,D308,D314,D369,D311,D317,D322,D327,D332,D337,D342,D347,D350,D355,D372,D364,D375,D358,D361)</f>
        <v>687357194</v>
      </c>
      <c r="E266" s="19">
        <f>SUM(E267,E272,E277,E282,E287,E292,E297,E303,E308,E314,E369,E311,E317,E322,E327,E332,E337,E342,E347,E350,E355,E372,E364,E375,E358,E361)</f>
        <v>180893106.6</v>
      </c>
      <c r="F266" s="20">
        <f t="shared" si="4"/>
        <v>868250300.6</v>
      </c>
    </row>
    <row r="267" spans="1:255" s="12" customFormat="1" ht="31.5">
      <c r="A267" s="24" t="s">
        <v>197</v>
      </c>
      <c r="B267" s="18" t="s">
        <v>198</v>
      </c>
      <c r="C267" s="18"/>
      <c r="D267" s="19">
        <f>D270+D268</f>
        <v>110060704</v>
      </c>
      <c r="E267" s="20">
        <f>E270+E268</f>
        <v>-3500000</v>
      </c>
      <c r="F267" s="20">
        <f t="shared" si="4"/>
        <v>106560704</v>
      </c>
      <c r="IU267" s="42">
        <f>SUM(D267:IT267)</f>
        <v>213121408</v>
      </c>
    </row>
    <row r="268" spans="1:6" s="29" customFormat="1" ht="31.5">
      <c r="A268" s="28" t="s">
        <v>27</v>
      </c>
      <c r="B268" s="18" t="s">
        <v>198</v>
      </c>
      <c r="C268" s="18">
        <v>200</v>
      </c>
      <c r="D268" s="19">
        <f>D269</f>
        <v>1100608</v>
      </c>
      <c r="E268" s="20">
        <f>E269</f>
        <v>0</v>
      </c>
      <c r="F268" s="20">
        <f t="shared" si="4"/>
        <v>1100608</v>
      </c>
    </row>
    <row r="269" spans="1:6" s="29" customFormat="1" ht="31.5">
      <c r="A269" s="24" t="s">
        <v>28</v>
      </c>
      <c r="B269" s="18" t="s">
        <v>198</v>
      </c>
      <c r="C269" s="18">
        <v>240</v>
      </c>
      <c r="D269" s="19">
        <v>1100608</v>
      </c>
      <c r="E269" s="26">
        <v>0</v>
      </c>
      <c r="F269" s="20">
        <f t="shared" si="4"/>
        <v>1100608</v>
      </c>
    </row>
    <row r="270" spans="1:6" s="12" customFormat="1" ht="15.75">
      <c r="A270" s="24" t="s">
        <v>29</v>
      </c>
      <c r="B270" s="18" t="s">
        <v>198</v>
      </c>
      <c r="C270" s="18">
        <v>300</v>
      </c>
      <c r="D270" s="19">
        <f>D271</f>
        <v>108960096</v>
      </c>
      <c r="E270" s="20">
        <f>E271</f>
        <v>-3500000</v>
      </c>
      <c r="F270" s="20">
        <f t="shared" si="4"/>
        <v>105460096</v>
      </c>
    </row>
    <row r="271" spans="1:6" s="12" customFormat="1" ht="31.5">
      <c r="A271" s="24" t="s">
        <v>30</v>
      </c>
      <c r="B271" s="18" t="s">
        <v>198</v>
      </c>
      <c r="C271" s="18">
        <v>310</v>
      </c>
      <c r="D271" s="19">
        <v>108960096</v>
      </c>
      <c r="E271" s="20">
        <v>-3500000</v>
      </c>
      <c r="F271" s="20">
        <f t="shared" si="4"/>
        <v>105460096</v>
      </c>
    </row>
    <row r="272" spans="1:6" s="29" customFormat="1" ht="47.25">
      <c r="A272" s="24" t="s">
        <v>199</v>
      </c>
      <c r="B272" s="18" t="s">
        <v>200</v>
      </c>
      <c r="C272" s="18"/>
      <c r="D272" s="19">
        <f>D275+D273</f>
        <v>8418651</v>
      </c>
      <c r="E272" s="20">
        <f>E275+E273</f>
        <v>323534</v>
      </c>
      <c r="F272" s="20">
        <f t="shared" si="4"/>
        <v>8742185</v>
      </c>
    </row>
    <row r="273" spans="1:6" s="29" customFormat="1" ht="31.5">
      <c r="A273" s="28" t="s">
        <v>27</v>
      </c>
      <c r="B273" s="18" t="s">
        <v>200</v>
      </c>
      <c r="C273" s="18">
        <v>200</v>
      </c>
      <c r="D273" s="19">
        <f>D274</f>
        <v>84187</v>
      </c>
      <c r="E273" s="20">
        <f>E274</f>
        <v>1734.5300000000002</v>
      </c>
      <c r="F273" s="20">
        <f t="shared" si="4"/>
        <v>85921.53</v>
      </c>
    </row>
    <row r="274" spans="1:6" s="29" customFormat="1" ht="31.5">
      <c r="A274" s="24" t="s">
        <v>28</v>
      </c>
      <c r="B274" s="18" t="s">
        <v>200</v>
      </c>
      <c r="C274" s="18">
        <v>240</v>
      </c>
      <c r="D274" s="19">
        <v>84187</v>
      </c>
      <c r="E274" s="20">
        <f>312.92+835+586.61</f>
        <v>1734.5300000000002</v>
      </c>
      <c r="F274" s="20">
        <f t="shared" si="4"/>
        <v>85921.53</v>
      </c>
    </row>
    <row r="275" spans="1:6" s="29" customFormat="1" ht="15.75">
      <c r="A275" s="24" t="s">
        <v>29</v>
      </c>
      <c r="B275" s="18" t="s">
        <v>200</v>
      </c>
      <c r="C275" s="18">
        <v>300</v>
      </c>
      <c r="D275" s="19">
        <f>D276</f>
        <v>8334464</v>
      </c>
      <c r="E275" s="20">
        <f>E276</f>
        <v>321799.47</v>
      </c>
      <c r="F275" s="20">
        <f t="shared" si="4"/>
        <v>8656263.47</v>
      </c>
    </row>
    <row r="276" spans="1:6" s="29" customFormat="1" ht="31.5">
      <c r="A276" s="24" t="s">
        <v>30</v>
      </c>
      <c r="B276" s="18" t="s">
        <v>200</v>
      </c>
      <c r="C276" s="18">
        <v>310</v>
      </c>
      <c r="D276" s="19">
        <v>8334464</v>
      </c>
      <c r="E276" s="20">
        <f>146687.08+86610+88502.39</f>
        <v>321799.47</v>
      </c>
      <c r="F276" s="20">
        <f t="shared" si="4"/>
        <v>8656263.47</v>
      </c>
    </row>
    <row r="277" spans="1:6" s="12" customFormat="1" ht="31.5">
      <c r="A277" s="24" t="s">
        <v>201</v>
      </c>
      <c r="B277" s="18" t="s">
        <v>202</v>
      </c>
      <c r="C277" s="18"/>
      <c r="D277" s="19">
        <f>D280+D278</f>
        <v>24380770</v>
      </c>
      <c r="E277" s="20">
        <f>E280+E278</f>
        <v>4295672</v>
      </c>
      <c r="F277" s="20">
        <f t="shared" si="4"/>
        <v>28676442</v>
      </c>
    </row>
    <row r="278" spans="1:6" s="29" customFormat="1" ht="31.5">
      <c r="A278" s="28" t="s">
        <v>27</v>
      </c>
      <c r="B278" s="18" t="s">
        <v>202</v>
      </c>
      <c r="C278" s="18">
        <v>200</v>
      </c>
      <c r="D278" s="19">
        <f>D279</f>
        <v>255876</v>
      </c>
      <c r="E278" s="20">
        <f>E279</f>
        <v>28685</v>
      </c>
      <c r="F278" s="20">
        <f t="shared" si="4"/>
        <v>284561</v>
      </c>
    </row>
    <row r="279" spans="1:6" s="12" customFormat="1" ht="31.5">
      <c r="A279" s="24" t="s">
        <v>28</v>
      </c>
      <c r="B279" s="18" t="s">
        <v>202</v>
      </c>
      <c r="C279" s="18">
        <v>240</v>
      </c>
      <c r="D279" s="19">
        <v>255876</v>
      </c>
      <c r="E279" s="20">
        <f>-11755+40440</f>
        <v>28685</v>
      </c>
      <c r="F279" s="20">
        <f t="shared" si="4"/>
        <v>284561</v>
      </c>
    </row>
    <row r="280" spans="1:6" s="12" customFormat="1" ht="15.75">
      <c r="A280" s="24" t="s">
        <v>29</v>
      </c>
      <c r="B280" s="18" t="s">
        <v>202</v>
      </c>
      <c r="C280" s="18">
        <v>300</v>
      </c>
      <c r="D280" s="19">
        <f>D281</f>
        <v>24124894</v>
      </c>
      <c r="E280" s="20">
        <f>E281</f>
        <v>4266987</v>
      </c>
      <c r="F280" s="20">
        <f t="shared" si="4"/>
        <v>28391881</v>
      </c>
    </row>
    <row r="281" spans="1:6" s="29" customFormat="1" ht="31.5">
      <c r="A281" s="24" t="s">
        <v>30</v>
      </c>
      <c r="B281" s="18" t="s">
        <v>202</v>
      </c>
      <c r="C281" s="18">
        <v>310</v>
      </c>
      <c r="D281" s="19">
        <v>24124894</v>
      </c>
      <c r="E281" s="20">
        <f>11755+4255232</f>
        <v>4266987</v>
      </c>
      <c r="F281" s="20">
        <f t="shared" si="4"/>
        <v>28391881</v>
      </c>
    </row>
    <row r="282" spans="1:6" s="29" customFormat="1" ht="31.5">
      <c r="A282" s="24" t="s">
        <v>203</v>
      </c>
      <c r="B282" s="18" t="s">
        <v>204</v>
      </c>
      <c r="C282" s="18"/>
      <c r="D282" s="19">
        <f>D285+D283</f>
        <v>27335124</v>
      </c>
      <c r="E282" s="20">
        <f>E285+E283</f>
        <v>-2666562</v>
      </c>
      <c r="F282" s="20">
        <f t="shared" si="4"/>
        <v>24668562</v>
      </c>
    </row>
    <row r="283" spans="1:6" s="12" customFormat="1" ht="31.5">
      <c r="A283" s="28" t="s">
        <v>27</v>
      </c>
      <c r="B283" s="18" t="s">
        <v>204</v>
      </c>
      <c r="C283" s="18">
        <v>200</v>
      </c>
      <c r="D283" s="19">
        <f>D284</f>
        <v>984065</v>
      </c>
      <c r="E283" s="20">
        <f>E284</f>
        <v>100000</v>
      </c>
      <c r="F283" s="20">
        <f t="shared" si="4"/>
        <v>1084065</v>
      </c>
    </row>
    <row r="284" spans="1:6" s="29" customFormat="1" ht="31.5">
      <c r="A284" s="24" t="s">
        <v>28</v>
      </c>
      <c r="B284" s="18" t="s">
        <v>204</v>
      </c>
      <c r="C284" s="18">
        <v>240</v>
      </c>
      <c r="D284" s="19">
        <v>984065</v>
      </c>
      <c r="E284" s="26">
        <f>-65000+165000</f>
        <v>100000</v>
      </c>
      <c r="F284" s="20">
        <f t="shared" si="4"/>
        <v>1084065</v>
      </c>
    </row>
    <row r="285" spans="1:6" s="12" customFormat="1" ht="15.75">
      <c r="A285" s="24" t="s">
        <v>29</v>
      </c>
      <c r="B285" s="18" t="s">
        <v>204</v>
      </c>
      <c r="C285" s="18">
        <v>300</v>
      </c>
      <c r="D285" s="19">
        <f>D286</f>
        <v>26351059</v>
      </c>
      <c r="E285" s="20">
        <f>E286</f>
        <v>-2766562</v>
      </c>
      <c r="F285" s="20">
        <f t="shared" si="4"/>
        <v>23584497</v>
      </c>
    </row>
    <row r="286" spans="1:6" s="29" customFormat="1" ht="31.5">
      <c r="A286" s="24" t="s">
        <v>30</v>
      </c>
      <c r="B286" s="18" t="s">
        <v>204</v>
      </c>
      <c r="C286" s="18">
        <v>310</v>
      </c>
      <c r="D286" s="19">
        <v>26351059</v>
      </c>
      <c r="E286" s="26">
        <f>-6503088+5544000-1807474</f>
        <v>-2766562</v>
      </c>
      <c r="F286" s="20">
        <f t="shared" si="4"/>
        <v>23584497</v>
      </c>
    </row>
    <row r="287" spans="1:6" s="29" customFormat="1" ht="63">
      <c r="A287" s="24" t="s">
        <v>205</v>
      </c>
      <c r="B287" s="18" t="s">
        <v>206</v>
      </c>
      <c r="C287" s="18"/>
      <c r="D287" s="19">
        <f>D290+D288</f>
        <v>387991</v>
      </c>
      <c r="E287" s="20">
        <f>E290+E288</f>
        <v>250000</v>
      </c>
      <c r="F287" s="20">
        <f t="shared" si="4"/>
        <v>637991</v>
      </c>
    </row>
    <row r="288" spans="1:6" s="29" customFormat="1" ht="31.5">
      <c r="A288" s="28" t="s">
        <v>27</v>
      </c>
      <c r="B288" s="18" t="s">
        <v>206</v>
      </c>
      <c r="C288" s="18">
        <v>200</v>
      </c>
      <c r="D288" s="19">
        <f>D289</f>
        <v>3919</v>
      </c>
      <c r="E288" s="20">
        <f>E289</f>
        <v>2475</v>
      </c>
      <c r="F288" s="20">
        <f t="shared" si="4"/>
        <v>6394</v>
      </c>
    </row>
    <row r="289" spans="1:6" s="36" customFormat="1" ht="31.5">
      <c r="A289" s="24" t="s">
        <v>28</v>
      </c>
      <c r="B289" s="18" t="s">
        <v>206</v>
      </c>
      <c r="C289" s="18">
        <v>240</v>
      </c>
      <c r="D289" s="19">
        <v>3919</v>
      </c>
      <c r="E289" s="20">
        <f>1485+990</f>
        <v>2475</v>
      </c>
      <c r="F289" s="20">
        <f t="shared" si="4"/>
        <v>6394</v>
      </c>
    </row>
    <row r="290" spans="1:6" s="29" customFormat="1" ht="15.75">
      <c r="A290" s="24" t="s">
        <v>29</v>
      </c>
      <c r="B290" s="18" t="s">
        <v>206</v>
      </c>
      <c r="C290" s="18">
        <v>300</v>
      </c>
      <c r="D290" s="19">
        <f>D291</f>
        <v>384072</v>
      </c>
      <c r="E290" s="20">
        <f>E291</f>
        <v>247525</v>
      </c>
      <c r="F290" s="20">
        <f t="shared" si="4"/>
        <v>631597</v>
      </c>
    </row>
    <row r="291" spans="1:6" s="29" customFormat="1" ht="31.5">
      <c r="A291" s="24" t="s">
        <v>30</v>
      </c>
      <c r="B291" s="18" t="s">
        <v>206</v>
      </c>
      <c r="C291" s="18">
        <v>310</v>
      </c>
      <c r="D291" s="19">
        <v>384072</v>
      </c>
      <c r="E291" s="20">
        <f>148515+99010</f>
        <v>247525</v>
      </c>
      <c r="F291" s="20">
        <f t="shared" si="4"/>
        <v>631597</v>
      </c>
    </row>
    <row r="292" spans="1:6" s="29" customFormat="1" ht="63">
      <c r="A292" s="24" t="s">
        <v>207</v>
      </c>
      <c r="B292" s="18" t="s">
        <v>208</v>
      </c>
      <c r="C292" s="18"/>
      <c r="D292" s="19">
        <f>D295+D293</f>
        <v>7100000</v>
      </c>
      <c r="E292" s="20">
        <f>E295+E293</f>
        <v>0</v>
      </c>
      <c r="F292" s="20">
        <f t="shared" si="4"/>
        <v>7100000</v>
      </c>
    </row>
    <row r="293" spans="1:6" s="29" customFormat="1" ht="31.5">
      <c r="A293" s="28" t="s">
        <v>27</v>
      </c>
      <c r="B293" s="18" t="s">
        <v>208</v>
      </c>
      <c r="C293" s="18">
        <v>200</v>
      </c>
      <c r="D293" s="25">
        <f>D294</f>
        <v>71000</v>
      </c>
      <c r="E293" s="22">
        <f>E294</f>
        <v>0</v>
      </c>
      <c r="F293" s="20">
        <f t="shared" si="4"/>
        <v>71000</v>
      </c>
    </row>
    <row r="294" spans="1:6" s="29" customFormat="1" ht="31.5">
      <c r="A294" s="24" t="s">
        <v>28</v>
      </c>
      <c r="B294" s="18" t="s">
        <v>208</v>
      </c>
      <c r="C294" s="18">
        <v>240</v>
      </c>
      <c r="D294" s="25">
        <v>71000</v>
      </c>
      <c r="E294" s="26">
        <v>0</v>
      </c>
      <c r="F294" s="20">
        <f t="shared" si="4"/>
        <v>71000</v>
      </c>
    </row>
    <row r="295" spans="1:6" s="12" customFormat="1" ht="15.75">
      <c r="A295" s="24" t="s">
        <v>29</v>
      </c>
      <c r="B295" s="18" t="s">
        <v>208</v>
      </c>
      <c r="C295" s="18">
        <v>300</v>
      </c>
      <c r="D295" s="25">
        <f>D296</f>
        <v>7029000</v>
      </c>
      <c r="E295" s="22">
        <f>E296</f>
        <v>0</v>
      </c>
      <c r="F295" s="20">
        <f t="shared" si="4"/>
        <v>7029000</v>
      </c>
    </row>
    <row r="296" spans="1:6" s="29" customFormat="1" ht="31.5">
      <c r="A296" s="24" t="s">
        <v>30</v>
      </c>
      <c r="B296" s="18" t="s">
        <v>208</v>
      </c>
      <c r="C296" s="18">
        <v>310</v>
      </c>
      <c r="D296" s="25">
        <v>7029000</v>
      </c>
      <c r="E296" s="26">
        <v>0</v>
      </c>
      <c r="F296" s="20">
        <f t="shared" si="4"/>
        <v>7029000</v>
      </c>
    </row>
    <row r="297" spans="1:6" s="29" customFormat="1" ht="47.25">
      <c r="A297" s="24" t="s">
        <v>209</v>
      </c>
      <c r="B297" s="18" t="s">
        <v>210</v>
      </c>
      <c r="C297" s="18"/>
      <c r="D297" s="19">
        <f>D300+D298</f>
        <v>253365802</v>
      </c>
      <c r="E297" s="20">
        <f>E300+E298</f>
        <v>22000000</v>
      </c>
      <c r="F297" s="20">
        <f t="shared" si="4"/>
        <v>275365802</v>
      </c>
    </row>
    <row r="298" spans="1:6" s="12" customFormat="1" ht="31.5">
      <c r="A298" s="28" t="s">
        <v>27</v>
      </c>
      <c r="B298" s="18" t="s">
        <v>210</v>
      </c>
      <c r="C298" s="18">
        <v>200</v>
      </c>
      <c r="D298" s="19">
        <f>D299</f>
        <v>2533658</v>
      </c>
      <c r="E298" s="20">
        <f>E299</f>
        <v>398000</v>
      </c>
      <c r="F298" s="20">
        <f t="shared" si="4"/>
        <v>2931658</v>
      </c>
    </row>
    <row r="299" spans="1:6" s="29" customFormat="1" ht="31.5">
      <c r="A299" s="24" t="s">
        <v>28</v>
      </c>
      <c r="B299" s="18" t="s">
        <v>210</v>
      </c>
      <c r="C299" s="18">
        <v>240</v>
      </c>
      <c r="D299" s="19">
        <v>2533658</v>
      </c>
      <c r="E299" s="26">
        <f>200000+198000</f>
        <v>398000</v>
      </c>
      <c r="F299" s="20">
        <f t="shared" si="4"/>
        <v>2931658</v>
      </c>
    </row>
    <row r="300" spans="1:6" s="29" customFormat="1" ht="15.75">
      <c r="A300" s="24" t="s">
        <v>29</v>
      </c>
      <c r="B300" s="18" t="s">
        <v>210</v>
      </c>
      <c r="C300" s="18">
        <v>300</v>
      </c>
      <c r="D300" s="19">
        <f>SUM(D301:D302)</f>
        <v>250832144</v>
      </c>
      <c r="E300" s="20">
        <f>SUM(E301:E302)</f>
        <v>21602000</v>
      </c>
      <c r="F300" s="20">
        <f t="shared" si="4"/>
        <v>272434144</v>
      </c>
    </row>
    <row r="301" spans="1:6" s="12" customFormat="1" ht="31.5">
      <c r="A301" s="24" t="s">
        <v>30</v>
      </c>
      <c r="B301" s="18" t="s">
        <v>210</v>
      </c>
      <c r="C301" s="18">
        <v>310</v>
      </c>
      <c r="D301" s="19">
        <v>217894594</v>
      </c>
      <c r="E301" s="26">
        <f>1200000+19802000</f>
        <v>21002000</v>
      </c>
      <c r="F301" s="20">
        <f t="shared" si="4"/>
        <v>238896594</v>
      </c>
    </row>
    <row r="302" spans="1:6" s="12" customFormat="1" ht="31.5">
      <c r="A302" s="24" t="s">
        <v>211</v>
      </c>
      <c r="B302" s="18" t="s">
        <v>210</v>
      </c>
      <c r="C302" s="18">
        <v>320</v>
      </c>
      <c r="D302" s="19">
        <v>32937550</v>
      </c>
      <c r="E302" s="26">
        <v>600000</v>
      </c>
      <c r="F302" s="20">
        <f t="shared" si="4"/>
        <v>33537550</v>
      </c>
    </row>
    <row r="303" spans="1:6" s="29" customFormat="1" ht="47.25">
      <c r="A303" s="24" t="s">
        <v>212</v>
      </c>
      <c r="B303" s="18" t="s">
        <v>213</v>
      </c>
      <c r="C303" s="18"/>
      <c r="D303" s="19">
        <f>D306+D304</f>
        <v>48020</v>
      </c>
      <c r="E303" s="20">
        <f>E306+E304</f>
        <v>0</v>
      </c>
      <c r="F303" s="20">
        <f t="shared" si="4"/>
        <v>48020</v>
      </c>
    </row>
    <row r="304" spans="1:6" s="29" customFormat="1" ht="31.5">
      <c r="A304" s="28" t="s">
        <v>27</v>
      </c>
      <c r="B304" s="18" t="s">
        <v>213</v>
      </c>
      <c r="C304" s="18">
        <v>200</v>
      </c>
      <c r="D304" s="19">
        <f>D305</f>
        <v>480</v>
      </c>
      <c r="E304" s="20">
        <f>E305</f>
        <v>0</v>
      </c>
      <c r="F304" s="20">
        <f t="shared" si="4"/>
        <v>480</v>
      </c>
    </row>
    <row r="305" spans="1:6" s="29" customFormat="1" ht="31.5">
      <c r="A305" s="24" t="s">
        <v>28</v>
      </c>
      <c r="B305" s="18" t="s">
        <v>213</v>
      </c>
      <c r="C305" s="18">
        <v>240</v>
      </c>
      <c r="D305" s="19">
        <v>480</v>
      </c>
      <c r="E305" s="26">
        <v>0</v>
      </c>
      <c r="F305" s="20">
        <f t="shared" si="4"/>
        <v>480</v>
      </c>
    </row>
    <row r="306" spans="1:6" s="29" customFormat="1" ht="15.75">
      <c r="A306" s="24" t="s">
        <v>29</v>
      </c>
      <c r="B306" s="18" t="s">
        <v>213</v>
      </c>
      <c r="C306" s="18">
        <v>300</v>
      </c>
      <c r="D306" s="19">
        <f>D307</f>
        <v>47540</v>
      </c>
      <c r="E306" s="20">
        <f>E307</f>
        <v>0</v>
      </c>
      <c r="F306" s="20">
        <f t="shared" si="4"/>
        <v>47540</v>
      </c>
    </row>
    <row r="307" spans="1:6" s="29" customFormat="1" ht="31.5">
      <c r="A307" s="24" t="s">
        <v>30</v>
      </c>
      <c r="B307" s="18" t="s">
        <v>213</v>
      </c>
      <c r="C307" s="18">
        <v>310</v>
      </c>
      <c r="D307" s="19">
        <v>47540</v>
      </c>
      <c r="E307" s="26">
        <v>0</v>
      </c>
      <c r="F307" s="20">
        <f t="shared" si="4"/>
        <v>47540</v>
      </c>
    </row>
    <row r="308" spans="1:6" ht="78.75">
      <c r="A308" s="24" t="s">
        <v>214</v>
      </c>
      <c r="B308" s="18" t="s">
        <v>215</v>
      </c>
      <c r="C308" s="18"/>
      <c r="D308" s="19">
        <f>D309</f>
        <v>369068</v>
      </c>
      <c r="E308" s="20">
        <f>E309</f>
        <v>-44797</v>
      </c>
      <c r="F308" s="20">
        <f t="shared" si="4"/>
        <v>324271</v>
      </c>
    </row>
    <row r="309" spans="1:6" s="12" customFormat="1" ht="15.75">
      <c r="A309" s="24" t="s">
        <v>29</v>
      </c>
      <c r="B309" s="18" t="s">
        <v>215</v>
      </c>
      <c r="C309" s="18">
        <v>300</v>
      </c>
      <c r="D309" s="19">
        <f>D310</f>
        <v>369068</v>
      </c>
      <c r="E309" s="20">
        <f>E310</f>
        <v>-44797</v>
      </c>
      <c r="F309" s="20">
        <f t="shared" si="4"/>
        <v>324271</v>
      </c>
    </row>
    <row r="310" spans="1:6" s="12" customFormat="1" ht="31.5">
      <c r="A310" s="24" t="s">
        <v>30</v>
      </c>
      <c r="B310" s="18" t="s">
        <v>215</v>
      </c>
      <c r="C310" s="18">
        <v>310</v>
      </c>
      <c r="D310" s="19">
        <v>369068</v>
      </c>
      <c r="E310" s="26">
        <v>-44797</v>
      </c>
      <c r="F310" s="20">
        <f t="shared" si="4"/>
        <v>324271</v>
      </c>
    </row>
    <row r="311" spans="1:6" s="29" customFormat="1" ht="94.5">
      <c r="A311" s="24" t="s">
        <v>216</v>
      </c>
      <c r="B311" s="18" t="s">
        <v>217</v>
      </c>
      <c r="C311" s="18"/>
      <c r="D311" s="19">
        <f>D312</f>
        <v>27523149</v>
      </c>
      <c r="E311" s="20">
        <f>E312</f>
        <v>3778707</v>
      </c>
      <c r="F311" s="20">
        <f t="shared" si="4"/>
        <v>31301856</v>
      </c>
    </row>
    <row r="312" spans="1:6" s="29" customFormat="1" ht="15.75">
      <c r="A312" s="24" t="s">
        <v>29</v>
      </c>
      <c r="B312" s="18" t="s">
        <v>217</v>
      </c>
      <c r="C312" s="18">
        <v>300</v>
      </c>
      <c r="D312" s="19">
        <f>D313</f>
        <v>27523149</v>
      </c>
      <c r="E312" s="20">
        <f>E313</f>
        <v>3778707</v>
      </c>
      <c r="F312" s="20">
        <f t="shared" si="4"/>
        <v>31301856</v>
      </c>
    </row>
    <row r="313" spans="1:6" s="29" customFormat="1" ht="31.5">
      <c r="A313" s="24" t="s">
        <v>30</v>
      </c>
      <c r="B313" s="18" t="s">
        <v>217</v>
      </c>
      <c r="C313" s="18">
        <v>310</v>
      </c>
      <c r="D313" s="19">
        <v>27523149</v>
      </c>
      <c r="E313" s="26">
        <f>2400000+1378707</f>
        <v>3778707</v>
      </c>
      <c r="F313" s="20">
        <f t="shared" si="4"/>
        <v>31301856</v>
      </c>
    </row>
    <row r="314" spans="1:6" s="29" customFormat="1" ht="126">
      <c r="A314" s="24" t="s">
        <v>218</v>
      </c>
      <c r="B314" s="18" t="s">
        <v>219</v>
      </c>
      <c r="C314" s="18"/>
      <c r="D314" s="20">
        <f>D315</f>
        <v>0</v>
      </c>
      <c r="E314" s="20">
        <f>E315</f>
        <v>4628384</v>
      </c>
      <c r="F314" s="23">
        <f t="shared" si="4"/>
        <v>4628384</v>
      </c>
    </row>
    <row r="315" spans="1:6" s="29" customFormat="1" ht="15.75">
      <c r="A315" s="24" t="s">
        <v>29</v>
      </c>
      <c r="B315" s="18" t="s">
        <v>219</v>
      </c>
      <c r="C315" s="18">
        <v>300</v>
      </c>
      <c r="D315" s="20">
        <f>D316</f>
        <v>0</v>
      </c>
      <c r="E315" s="20">
        <f>E316</f>
        <v>4628384</v>
      </c>
      <c r="F315" s="23">
        <f t="shared" si="4"/>
        <v>4628384</v>
      </c>
    </row>
    <row r="316" spans="1:6" s="29" customFormat="1" ht="31.5">
      <c r="A316" s="24" t="s">
        <v>30</v>
      </c>
      <c r="B316" s="18" t="s">
        <v>219</v>
      </c>
      <c r="C316" s="18">
        <v>310</v>
      </c>
      <c r="D316" s="20"/>
      <c r="E316" s="20">
        <f>4285680-457296+800000</f>
        <v>4628384</v>
      </c>
      <c r="F316" s="23">
        <f t="shared" si="4"/>
        <v>4628384</v>
      </c>
    </row>
    <row r="317" spans="1:6" ht="31.5">
      <c r="A317" s="24" t="s">
        <v>220</v>
      </c>
      <c r="B317" s="18" t="s">
        <v>221</v>
      </c>
      <c r="C317" s="18"/>
      <c r="D317" s="19">
        <f>D320+D318</f>
        <v>700000</v>
      </c>
      <c r="E317" s="20">
        <f>E320+E318</f>
        <v>0</v>
      </c>
      <c r="F317" s="20">
        <f t="shared" si="4"/>
        <v>700000</v>
      </c>
    </row>
    <row r="318" spans="1:6" s="12" customFormat="1" ht="31.5">
      <c r="A318" s="28" t="s">
        <v>27</v>
      </c>
      <c r="B318" s="18" t="s">
        <v>221</v>
      </c>
      <c r="C318" s="18">
        <v>200</v>
      </c>
      <c r="D318" s="19">
        <f>D319</f>
        <v>7000</v>
      </c>
      <c r="E318" s="20">
        <f>E319</f>
        <v>0</v>
      </c>
      <c r="F318" s="20">
        <f t="shared" si="4"/>
        <v>7000</v>
      </c>
    </row>
    <row r="319" spans="1:6" s="12" customFormat="1" ht="31.5">
      <c r="A319" s="24" t="s">
        <v>28</v>
      </c>
      <c r="B319" s="18" t="s">
        <v>221</v>
      </c>
      <c r="C319" s="18">
        <v>240</v>
      </c>
      <c r="D319" s="19">
        <v>7000</v>
      </c>
      <c r="E319" s="26">
        <v>0</v>
      </c>
      <c r="F319" s="20">
        <f t="shared" si="4"/>
        <v>7000</v>
      </c>
    </row>
    <row r="320" spans="1:6" s="12" customFormat="1" ht="15.75">
      <c r="A320" s="24" t="s">
        <v>29</v>
      </c>
      <c r="B320" s="18" t="s">
        <v>221</v>
      </c>
      <c r="C320" s="18">
        <v>300</v>
      </c>
      <c r="D320" s="19">
        <f>D321</f>
        <v>693000</v>
      </c>
      <c r="E320" s="20">
        <f>E321</f>
        <v>0</v>
      </c>
      <c r="F320" s="20">
        <f t="shared" si="4"/>
        <v>693000</v>
      </c>
    </row>
    <row r="321" spans="1:6" s="12" customFormat="1" ht="31.5">
      <c r="A321" s="24" t="s">
        <v>30</v>
      </c>
      <c r="B321" s="18" t="s">
        <v>221</v>
      </c>
      <c r="C321" s="18">
        <v>310</v>
      </c>
      <c r="D321" s="19">
        <v>693000</v>
      </c>
      <c r="E321" s="26">
        <v>0</v>
      </c>
      <c r="F321" s="20">
        <f t="shared" si="4"/>
        <v>693000</v>
      </c>
    </row>
    <row r="322" spans="1:6" s="12" customFormat="1" ht="63">
      <c r="A322" s="24" t="s">
        <v>222</v>
      </c>
      <c r="B322" s="18" t="s">
        <v>223</v>
      </c>
      <c r="C322" s="18"/>
      <c r="D322" s="19">
        <f>SUM(D325,D323)</f>
        <v>100000</v>
      </c>
      <c r="E322" s="20">
        <f>SUM(E325,E323)</f>
        <v>0</v>
      </c>
      <c r="F322" s="20">
        <f t="shared" si="4"/>
        <v>100000</v>
      </c>
    </row>
    <row r="323" spans="1:6" ht="31.5">
      <c r="A323" s="28" t="s">
        <v>27</v>
      </c>
      <c r="B323" s="18" t="s">
        <v>223</v>
      </c>
      <c r="C323" s="18">
        <v>200</v>
      </c>
      <c r="D323" s="19">
        <f>D324</f>
        <v>1000</v>
      </c>
      <c r="E323" s="20">
        <f>E324</f>
        <v>0</v>
      </c>
      <c r="F323" s="20">
        <f t="shared" si="4"/>
        <v>1000</v>
      </c>
    </row>
    <row r="324" spans="1:6" s="12" customFormat="1" ht="31.5">
      <c r="A324" s="24" t="s">
        <v>28</v>
      </c>
      <c r="B324" s="18" t="s">
        <v>223</v>
      </c>
      <c r="C324" s="18">
        <v>240</v>
      </c>
      <c r="D324" s="19">
        <v>1000</v>
      </c>
      <c r="E324" s="26">
        <v>0</v>
      </c>
      <c r="F324" s="20">
        <f t="shared" si="4"/>
        <v>1000</v>
      </c>
    </row>
    <row r="325" spans="1:6" ht="15.75">
      <c r="A325" s="24" t="s">
        <v>29</v>
      </c>
      <c r="B325" s="18" t="s">
        <v>223</v>
      </c>
      <c r="C325" s="18">
        <v>300</v>
      </c>
      <c r="D325" s="19">
        <f>D326</f>
        <v>99000</v>
      </c>
      <c r="E325" s="20">
        <f>E326</f>
        <v>0</v>
      </c>
      <c r="F325" s="20">
        <f t="shared" si="4"/>
        <v>99000</v>
      </c>
    </row>
    <row r="326" spans="1:6" ht="31.5">
      <c r="A326" s="24" t="s">
        <v>30</v>
      </c>
      <c r="B326" s="18" t="s">
        <v>223</v>
      </c>
      <c r="C326" s="18">
        <v>310</v>
      </c>
      <c r="D326" s="19">
        <v>99000</v>
      </c>
      <c r="E326" s="26">
        <v>0</v>
      </c>
      <c r="F326" s="20">
        <f t="shared" si="4"/>
        <v>99000</v>
      </c>
    </row>
    <row r="327" spans="1:6" s="12" customFormat="1" ht="31.5">
      <c r="A327" s="24" t="s">
        <v>224</v>
      </c>
      <c r="B327" s="18" t="s">
        <v>225</v>
      </c>
      <c r="C327" s="18"/>
      <c r="D327" s="19">
        <f>D330+D328</f>
        <v>800000</v>
      </c>
      <c r="E327" s="20">
        <f>E330+E328</f>
        <v>0</v>
      </c>
      <c r="F327" s="20">
        <f t="shared" si="4"/>
        <v>800000</v>
      </c>
    </row>
    <row r="328" spans="1:6" ht="31.5">
      <c r="A328" s="28" t="s">
        <v>27</v>
      </c>
      <c r="B328" s="18" t="s">
        <v>225</v>
      </c>
      <c r="C328" s="18">
        <v>200</v>
      </c>
      <c r="D328" s="19">
        <f>D329</f>
        <v>200000</v>
      </c>
      <c r="E328" s="20">
        <f>E329</f>
        <v>0</v>
      </c>
      <c r="F328" s="20">
        <f aca="true" t="shared" si="5" ref="F328:F391">SUM(D328:E328)</f>
        <v>200000</v>
      </c>
    </row>
    <row r="329" spans="1:6" s="12" customFormat="1" ht="31.5">
      <c r="A329" s="24" t="s">
        <v>28</v>
      </c>
      <c r="B329" s="18" t="s">
        <v>225</v>
      </c>
      <c r="C329" s="18">
        <v>240</v>
      </c>
      <c r="D329" s="19">
        <v>200000</v>
      </c>
      <c r="E329" s="26">
        <v>0</v>
      </c>
      <c r="F329" s="20">
        <f t="shared" si="5"/>
        <v>200000</v>
      </c>
    </row>
    <row r="330" spans="1:6" s="12" customFormat="1" ht="15.75">
      <c r="A330" s="24" t="s">
        <v>29</v>
      </c>
      <c r="B330" s="18" t="s">
        <v>225</v>
      </c>
      <c r="C330" s="18">
        <v>300</v>
      </c>
      <c r="D330" s="19">
        <f>D331</f>
        <v>600000</v>
      </c>
      <c r="E330" s="20">
        <f>E331</f>
        <v>0</v>
      </c>
      <c r="F330" s="20">
        <f t="shared" si="5"/>
        <v>600000</v>
      </c>
    </row>
    <row r="331" spans="1:6" s="29" customFormat="1" ht="31.5">
      <c r="A331" s="24" t="s">
        <v>30</v>
      </c>
      <c r="B331" s="18" t="s">
        <v>225</v>
      </c>
      <c r="C331" s="18">
        <v>310</v>
      </c>
      <c r="D331" s="19">
        <v>600000</v>
      </c>
      <c r="E331" s="26">
        <v>0</v>
      </c>
      <c r="F331" s="20">
        <f t="shared" si="5"/>
        <v>600000</v>
      </c>
    </row>
    <row r="332" spans="1:6" s="29" customFormat="1" ht="47.25">
      <c r="A332" s="24" t="s">
        <v>226</v>
      </c>
      <c r="B332" s="18" t="s">
        <v>227</v>
      </c>
      <c r="C332" s="18"/>
      <c r="D332" s="19">
        <f>D335+D333</f>
        <v>5000000</v>
      </c>
      <c r="E332" s="20">
        <f>E335+E333</f>
        <v>0</v>
      </c>
      <c r="F332" s="20">
        <f t="shared" si="5"/>
        <v>5000000</v>
      </c>
    </row>
    <row r="333" spans="1:6" s="29" customFormat="1" ht="31.5">
      <c r="A333" s="28" t="s">
        <v>27</v>
      </c>
      <c r="B333" s="18" t="s">
        <v>227</v>
      </c>
      <c r="C333" s="18">
        <v>200</v>
      </c>
      <c r="D333" s="19">
        <f>D334</f>
        <v>50000</v>
      </c>
      <c r="E333" s="20">
        <f>E334</f>
        <v>0</v>
      </c>
      <c r="F333" s="20">
        <f t="shared" si="5"/>
        <v>50000</v>
      </c>
    </row>
    <row r="334" spans="1:6" s="29" customFormat="1" ht="31.5">
      <c r="A334" s="24" t="s">
        <v>28</v>
      </c>
      <c r="B334" s="18" t="s">
        <v>227</v>
      </c>
      <c r="C334" s="18">
        <v>240</v>
      </c>
      <c r="D334" s="19">
        <v>50000</v>
      </c>
      <c r="E334" s="26">
        <v>0</v>
      </c>
      <c r="F334" s="20">
        <f t="shared" si="5"/>
        <v>50000</v>
      </c>
    </row>
    <row r="335" spans="1:6" s="29" customFormat="1" ht="15.75">
      <c r="A335" s="24" t="s">
        <v>29</v>
      </c>
      <c r="B335" s="18" t="s">
        <v>227</v>
      </c>
      <c r="C335" s="18">
        <v>300</v>
      </c>
      <c r="D335" s="19">
        <f>D336</f>
        <v>4950000</v>
      </c>
      <c r="E335" s="20">
        <f>E336</f>
        <v>0</v>
      </c>
      <c r="F335" s="20">
        <f t="shared" si="5"/>
        <v>4950000</v>
      </c>
    </row>
    <row r="336" spans="1:6" s="29" customFormat="1" ht="31.5">
      <c r="A336" s="24" t="s">
        <v>30</v>
      </c>
      <c r="B336" s="18" t="s">
        <v>227</v>
      </c>
      <c r="C336" s="18">
        <v>310</v>
      </c>
      <c r="D336" s="19">
        <v>4950000</v>
      </c>
      <c r="E336" s="26">
        <v>0</v>
      </c>
      <c r="F336" s="20">
        <f t="shared" si="5"/>
        <v>4950000</v>
      </c>
    </row>
    <row r="337" spans="1:6" s="12" customFormat="1" ht="15.75">
      <c r="A337" s="24" t="s">
        <v>228</v>
      </c>
      <c r="B337" s="18" t="s">
        <v>229</v>
      </c>
      <c r="C337" s="18"/>
      <c r="D337" s="19">
        <f>D340+D338</f>
        <v>600000</v>
      </c>
      <c r="E337" s="20">
        <f>E340+E338</f>
        <v>0</v>
      </c>
      <c r="F337" s="20">
        <f t="shared" si="5"/>
        <v>600000</v>
      </c>
    </row>
    <row r="338" spans="1:6" s="12" customFormat="1" ht="31.5">
      <c r="A338" s="28" t="s">
        <v>27</v>
      </c>
      <c r="B338" s="18" t="s">
        <v>229</v>
      </c>
      <c r="C338" s="18">
        <v>200</v>
      </c>
      <c r="D338" s="19">
        <f>D339</f>
        <v>6000</v>
      </c>
      <c r="E338" s="20">
        <f>E339</f>
        <v>0</v>
      </c>
      <c r="F338" s="20">
        <f t="shared" si="5"/>
        <v>6000</v>
      </c>
    </row>
    <row r="339" spans="1:6" s="12" customFormat="1" ht="31.5">
      <c r="A339" s="24" t="s">
        <v>28</v>
      </c>
      <c r="B339" s="18" t="s">
        <v>229</v>
      </c>
      <c r="C339" s="18">
        <v>240</v>
      </c>
      <c r="D339" s="19">
        <v>6000</v>
      </c>
      <c r="E339" s="26">
        <v>0</v>
      </c>
      <c r="F339" s="20">
        <f t="shared" si="5"/>
        <v>6000</v>
      </c>
    </row>
    <row r="340" spans="1:6" s="29" customFormat="1" ht="15.75">
      <c r="A340" s="24" t="s">
        <v>29</v>
      </c>
      <c r="B340" s="18" t="s">
        <v>229</v>
      </c>
      <c r="C340" s="18">
        <v>300</v>
      </c>
      <c r="D340" s="19">
        <f>D341</f>
        <v>594000</v>
      </c>
      <c r="E340" s="20">
        <f>E341</f>
        <v>0</v>
      </c>
      <c r="F340" s="20">
        <f t="shared" si="5"/>
        <v>594000</v>
      </c>
    </row>
    <row r="341" spans="1:6" s="12" customFormat="1" ht="31.5">
      <c r="A341" s="24" t="s">
        <v>30</v>
      </c>
      <c r="B341" s="18" t="s">
        <v>229</v>
      </c>
      <c r="C341" s="18">
        <v>310</v>
      </c>
      <c r="D341" s="19">
        <v>594000</v>
      </c>
      <c r="E341" s="26">
        <v>0</v>
      </c>
      <c r="F341" s="20">
        <f t="shared" si="5"/>
        <v>594000</v>
      </c>
    </row>
    <row r="342" spans="1:6" s="12" customFormat="1" ht="47.25">
      <c r="A342" s="24" t="s">
        <v>230</v>
      </c>
      <c r="B342" s="18" t="s">
        <v>231</v>
      </c>
      <c r="C342" s="18"/>
      <c r="D342" s="19">
        <f>D345+D343</f>
        <v>8500000</v>
      </c>
      <c r="E342" s="20">
        <f>E345+E343</f>
        <v>200000</v>
      </c>
      <c r="F342" s="20">
        <f t="shared" si="5"/>
        <v>8700000</v>
      </c>
    </row>
    <row r="343" spans="1:6" s="29" customFormat="1" ht="31.5">
      <c r="A343" s="28" t="s">
        <v>27</v>
      </c>
      <c r="B343" s="18" t="s">
        <v>231</v>
      </c>
      <c r="C343" s="18">
        <v>200</v>
      </c>
      <c r="D343" s="19">
        <f>D344</f>
        <v>85000</v>
      </c>
      <c r="E343" s="20">
        <f>E344</f>
        <v>0</v>
      </c>
      <c r="F343" s="20">
        <f t="shared" si="5"/>
        <v>85000</v>
      </c>
    </row>
    <row r="344" spans="1:6" ht="31.5">
      <c r="A344" s="28" t="s">
        <v>28</v>
      </c>
      <c r="B344" s="18" t="s">
        <v>231</v>
      </c>
      <c r="C344" s="18">
        <v>240</v>
      </c>
      <c r="D344" s="19">
        <v>85000</v>
      </c>
      <c r="E344" s="26">
        <v>0</v>
      </c>
      <c r="F344" s="20">
        <f t="shared" si="5"/>
        <v>85000</v>
      </c>
    </row>
    <row r="345" spans="1:6" s="43" customFormat="1" ht="15.75">
      <c r="A345" s="24" t="s">
        <v>29</v>
      </c>
      <c r="B345" s="18" t="s">
        <v>231</v>
      </c>
      <c r="C345" s="18">
        <v>300</v>
      </c>
      <c r="D345" s="19">
        <f>D346</f>
        <v>8415000</v>
      </c>
      <c r="E345" s="20">
        <f>E346</f>
        <v>200000</v>
      </c>
      <c r="F345" s="20">
        <f t="shared" si="5"/>
        <v>8615000</v>
      </c>
    </row>
    <row r="346" spans="1:6" s="43" customFormat="1" ht="31.5">
      <c r="A346" s="24" t="s">
        <v>30</v>
      </c>
      <c r="B346" s="18" t="s">
        <v>231</v>
      </c>
      <c r="C346" s="18">
        <v>310</v>
      </c>
      <c r="D346" s="19">
        <v>8415000</v>
      </c>
      <c r="E346" s="26">
        <v>200000</v>
      </c>
      <c r="F346" s="20">
        <f t="shared" si="5"/>
        <v>8615000</v>
      </c>
    </row>
    <row r="347" spans="1:6" s="29" customFormat="1" ht="31.5">
      <c r="A347" s="24" t="s">
        <v>232</v>
      </c>
      <c r="B347" s="18" t="s">
        <v>233</v>
      </c>
      <c r="C347" s="18"/>
      <c r="D347" s="19">
        <f>D348</f>
        <v>1000000</v>
      </c>
      <c r="E347" s="20">
        <f>E348</f>
        <v>0</v>
      </c>
      <c r="F347" s="20">
        <f t="shared" si="5"/>
        <v>1000000</v>
      </c>
    </row>
    <row r="348" spans="1:6" s="29" customFormat="1" ht="31.5">
      <c r="A348" s="28" t="s">
        <v>27</v>
      </c>
      <c r="B348" s="18" t="s">
        <v>233</v>
      </c>
      <c r="C348" s="18">
        <v>200</v>
      </c>
      <c r="D348" s="19">
        <f>D349</f>
        <v>1000000</v>
      </c>
      <c r="E348" s="20">
        <f>E349</f>
        <v>0</v>
      </c>
      <c r="F348" s="20">
        <f t="shared" si="5"/>
        <v>1000000</v>
      </c>
    </row>
    <row r="349" spans="1:6" s="29" customFormat="1" ht="31.5">
      <c r="A349" s="28" t="s">
        <v>28</v>
      </c>
      <c r="B349" s="18" t="s">
        <v>233</v>
      </c>
      <c r="C349" s="18">
        <v>240</v>
      </c>
      <c r="D349" s="19">
        <v>1000000</v>
      </c>
      <c r="E349" s="26">
        <v>0</v>
      </c>
      <c r="F349" s="20">
        <f t="shared" si="5"/>
        <v>1000000</v>
      </c>
    </row>
    <row r="350" spans="1:6" s="29" customFormat="1" ht="47.25">
      <c r="A350" s="24" t="s">
        <v>234</v>
      </c>
      <c r="B350" s="18" t="s">
        <v>235</v>
      </c>
      <c r="C350" s="18"/>
      <c r="D350" s="19">
        <f>D353+D351</f>
        <v>21261180</v>
      </c>
      <c r="E350" s="20">
        <f>E353+E351</f>
        <v>-6723607</v>
      </c>
      <c r="F350" s="20">
        <f t="shared" si="5"/>
        <v>14537573</v>
      </c>
    </row>
    <row r="351" spans="1:6" s="29" customFormat="1" ht="31.5">
      <c r="A351" s="28" t="s">
        <v>27</v>
      </c>
      <c r="B351" s="18" t="s">
        <v>235</v>
      </c>
      <c r="C351" s="18">
        <v>200</v>
      </c>
      <c r="D351" s="19">
        <f>D352</f>
        <v>251963</v>
      </c>
      <c r="E351" s="20">
        <f>E352</f>
        <v>-108096.45</v>
      </c>
      <c r="F351" s="20">
        <f t="shared" si="5"/>
        <v>143866.55</v>
      </c>
    </row>
    <row r="352" spans="1:6" s="29" customFormat="1" ht="31.5">
      <c r="A352" s="24" t="s">
        <v>28</v>
      </c>
      <c r="B352" s="18" t="s">
        <v>235</v>
      </c>
      <c r="C352" s="18">
        <v>240</v>
      </c>
      <c r="D352" s="19">
        <v>251963</v>
      </c>
      <c r="E352" s="26">
        <v>-108096.45</v>
      </c>
      <c r="F352" s="20">
        <f t="shared" si="5"/>
        <v>143866.55</v>
      </c>
    </row>
    <row r="353" spans="1:6" s="29" customFormat="1" ht="15.75">
      <c r="A353" s="24" t="s">
        <v>29</v>
      </c>
      <c r="B353" s="18" t="s">
        <v>235</v>
      </c>
      <c r="C353" s="18">
        <v>300</v>
      </c>
      <c r="D353" s="19">
        <f>D354</f>
        <v>21009217</v>
      </c>
      <c r="E353" s="20">
        <f>E354</f>
        <v>-6615510.55</v>
      </c>
      <c r="F353" s="20">
        <f t="shared" si="5"/>
        <v>14393706.45</v>
      </c>
    </row>
    <row r="354" spans="1:6" s="29" customFormat="1" ht="31.5">
      <c r="A354" s="24" t="s">
        <v>30</v>
      </c>
      <c r="B354" s="18" t="s">
        <v>235</v>
      </c>
      <c r="C354" s="18">
        <v>310</v>
      </c>
      <c r="D354" s="19">
        <v>21009217</v>
      </c>
      <c r="E354" s="26">
        <v>-6615510.55</v>
      </c>
      <c r="F354" s="20">
        <f t="shared" si="5"/>
        <v>14393706.45</v>
      </c>
    </row>
    <row r="355" spans="1:6" s="29" customFormat="1" ht="47.25">
      <c r="A355" s="24" t="s">
        <v>236</v>
      </c>
      <c r="B355" s="18" t="s">
        <v>237</v>
      </c>
      <c r="C355" s="18"/>
      <c r="D355" s="19">
        <f>D356</f>
        <v>2289129</v>
      </c>
      <c r="E355" s="20">
        <f>E356</f>
        <v>0</v>
      </c>
      <c r="F355" s="20">
        <f t="shared" si="5"/>
        <v>2289129</v>
      </c>
    </row>
    <row r="356" spans="1:6" s="29" customFormat="1" ht="15.75">
      <c r="A356" s="24" t="s">
        <v>29</v>
      </c>
      <c r="B356" s="18" t="s">
        <v>237</v>
      </c>
      <c r="C356" s="18">
        <v>300</v>
      </c>
      <c r="D356" s="19">
        <f>D357</f>
        <v>2289129</v>
      </c>
      <c r="E356" s="20">
        <f>E357</f>
        <v>0</v>
      </c>
      <c r="F356" s="20">
        <f t="shared" si="5"/>
        <v>2289129</v>
      </c>
    </row>
    <row r="357" spans="1:6" s="29" customFormat="1" ht="31.5">
      <c r="A357" s="24" t="s">
        <v>30</v>
      </c>
      <c r="B357" s="18" t="s">
        <v>237</v>
      </c>
      <c r="C357" s="18">
        <v>310</v>
      </c>
      <c r="D357" s="19">
        <v>2289129</v>
      </c>
      <c r="E357" s="26">
        <v>0</v>
      </c>
      <c r="F357" s="20">
        <f t="shared" si="5"/>
        <v>2289129</v>
      </c>
    </row>
    <row r="358" spans="1:6" s="29" customFormat="1" ht="31.5">
      <c r="A358" s="24" t="s">
        <v>238</v>
      </c>
      <c r="B358" s="18" t="s">
        <v>239</v>
      </c>
      <c r="C358" s="18"/>
      <c r="D358" s="19">
        <f>D359</f>
        <v>0</v>
      </c>
      <c r="E358" s="26">
        <f>E359</f>
        <v>83000000</v>
      </c>
      <c r="F358" s="20">
        <f t="shared" si="5"/>
        <v>83000000</v>
      </c>
    </row>
    <row r="359" spans="1:6" s="29" customFormat="1" ht="15.75">
      <c r="A359" s="24" t="s">
        <v>29</v>
      </c>
      <c r="B359" s="18" t="s">
        <v>239</v>
      </c>
      <c r="C359" s="18">
        <v>300</v>
      </c>
      <c r="D359" s="19">
        <f>D360</f>
        <v>0</v>
      </c>
      <c r="E359" s="26">
        <f>E360</f>
        <v>83000000</v>
      </c>
      <c r="F359" s="20">
        <f t="shared" si="5"/>
        <v>83000000</v>
      </c>
    </row>
    <row r="360" spans="1:6" s="29" customFormat="1" ht="31.5">
      <c r="A360" s="24" t="s">
        <v>30</v>
      </c>
      <c r="B360" s="18" t="s">
        <v>239</v>
      </c>
      <c r="C360" s="18">
        <v>310</v>
      </c>
      <c r="D360" s="19">
        <v>0</v>
      </c>
      <c r="E360" s="20">
        <f>79341480+3658520</f>
        <v>83000000</v>
      </c>
      <c r="F360" s="20">
        <f t="shared" si="5"/>
        <v>83000000</v>
      </c>
    </row>
    <row r="361" spans="1:6" s="29" customFormat="1" ht="63">
      <c r="A361" s="24" t="s">
        <v>240</v>
      </c>
      <c r="B361" s="18" t="s">
        <v>241</v>
      </c>
      <c r="C361" s="18"/>
      <c r="D361" s="19">
        <f>D362</f>
        <v>0</v>
      </c>
      <c r="E361" s="19">
        <f>E362</f>
        <v>68220666</v>
      </c>
      <c r="F361" s="20">
        <f t="shared" si="5"/>
        <v>68220666</v>
      </c>
    </row>
    <row r="362" spans="1:6" s="29" customFormat="1" ht="15.75">
      <c r="A362" s="24" t="s">
        <v>29</v>
      </c>
      <c r="B362" s="18" t="s">
        <v>241</v>
      </c>
      <c r="C362" s="18">
        <v>300</v>
      </c>
      <c r="D362" s="19">
        <f>D363</f>
        <v>0</v>
      </c>
      <c r="E362" s="19">
        <f>E363</f>
        <v>68220666</v>
      </c>
      <c r="F362" s="20">
        <f t="shared" si="5"/>
        <v>68220666</v>
      </c>
    </row>
    <row r="363" spans="1:6" s="29" customFormat="1" ht="31.5">
      <c r="A363" s="24" t="s">
        <v>30</v>
      </c>
      <c r="B363" s="18" t="s">
        <v>241</v>
      </c>
      <c r="C363" s="18">
        <v>310</v>
      </c>
      <c r="D363" s="19">
        <v>0</v>
      </c>
      <c r="E363" s="19">
        <f>20301785+4698215+2899586+40321080</f>
        <v>68220666</v>
      </c>
      <c r="F363" s="20">
        <f t="shared" si="5"/>
        <v>68220666</v>
      </c>
    </row>
    <row r="364" spans="1:6" s="29" customFormat="1" ht="78.75">
      <c r="A364" s="24" t="s">
        <v>242</v>
      </c>
      <c r="B364" s="18" t="s">
        <v>243</v>
      </c>
      <c r="C364" s="18"/>
      <c r="D364" s="19">
        <f>D365+D367</f>
        <v>41815202</v>
      </c>
      <c r="E364" s="20">
        <f>E365+E367</f>
        <v>10568088</v>
      </c>
      <c r="F364" s="20">
        <f t="shared" si="5"/>
        <v>52383290</v>
      </c>
    </row>
    <row r="365" spans="1:6" s="29" customFormat="1" ht="31.5">
      <c r="A365" s="28" t="s">
        <v>27</v>
      </c>
      <c r="B365" s="18" t="s">
        <v>243</v>
      </c>
      <c r="C365" s="18">
        <v>200</v>
      </c>
      <c r="D365" s="19">
        <f>D366</f>
        <v>292707</v>
      </c>
      <c r="E365" s="20">
        <f>E366</f>
        <v>140000</v>
      </c>
      <c r="F365" s="20">
        <f t="shared" si="5"/>
        <v>432707</v>
      </c>
    </row>
    <row r="366" spans="1:6" s="29" customFormat="1" ht="31.5">
      <c r="A366" s="24" t="s">
        <v>28</v>
      </c>
      <c r="B366" s="18" t="s">
        <v>243</v>
      </c>
      <c r="C366" s="18">
        <v>240</v>
      </c>
      <c r="D366" s="19">
        <v>292707</v>
      </c>
      <c r="E366" s="26">
        <f>65000+75000</f>
        <v>140000</v>
      </c>
      <c r="F366" s="20">
        <f t="shared" si="5"/>
        <v>432707</v>
      </c>
    </row>
    <row r="367" spans="1:6" s="29" customFormat="1" ht="15.75">
      <c r="A367" s="24" t="s">
        <v>29</v>
      </c>
      <c r="B367" s="18" t="s">
        <v>243</v>
      </c>
      <c r="C367" s="18">
        <v>300</v>
      </c>
      <c r="D367" s="19">
        <f>D368</f>
        <v>41522495</v>
      </c>
      <c r="E367" s="20">
        <f>E368</f>
        <v>10428088</v>
      </c>
      <c r="F367" s="20">
        <f t="shared" si="5"/>
        <v>51950583</v>
      </c>
    </row>
    <row r="368" spans="1:6" s="29" customFormat="1" ht="31.5">
      <c r="A368" s="24" t="s">
        <v>30</v>
      </c>
      <c r="B368" s="18" t="s">
        <v>243</v>
      </c>
      <c r="C368" s="18">
        <v>310</v>
      </c>
      <c r="D368" s="19">
        <v>41522495</v>
      </c>
      <c r="E368" s="26">
        <f>6503088+3925000</f>
        <v>10428088</v>
      </c>
      <c r="F368" s="20">
        <f t="shared" si="5"/>
        <v>51950583</v>
      </c>
    </row>
    <row r="369" spans="1:6" s="29" customFormat="1" ht="94.5">
      <c r="A369" s="24" t="s">
        <v>244</v>
      </c>
      <c r="B369" s="18" t="s">
        <v>245</v>
      </c>
      <c r="C369" s="18"/>
      <c r="D369" s="19">
        <f>D370</f>
        <v>61925074</v>
      </c>
      <c r="E369" s="20">
        <f>E370</f>
        <v>22842405.6</v>
      </c>
      <c r="F369" s="20">
        <f t="shared" si="5"/>
        <v>84767479.6</v>
      </c>
    </row>
    <row r="370" spans="1:6" s="29" customFormat="1" ht="15.75">
      <c r="A370" s="24" t="s">
        <v>29</v>
      </c>
      <c r="B370" s="18" t="s">
        <v>245</v>
      </c>
      <c r="C370" s="18">
        <v>300</v>
      </c>
      <c r="D370" s="19">
        <f>D371</f>
        <v>61925074</v>
      </c>
      <c r="E370" s="20">
        <f>E371</f>
        <v>22842405.6</v>
      </c>
      <c r="F370" s="20">
        <f t="shared" si="5"/>
        <v>84767479.6</v>
      </c>
    </row>
    <row r="371" spans="1:6" s="29" customFormat="1" ht="31.5">
      <c r="A371" s="24" t="s">
        <v>30</v>
      </c>
      <c r="B371" s="18" t="s">
        <v>245</v>
      </c>
      <c r="C371" s="18">
        <v>310</v>
      </c>
      <c r="D371" s="19">
        <v>61925074</v>
      </c>
      <c r="E371" s="20">
        <f>18500000+1385166+2957239.6</f>
        <v>22842405.6</v>
      </c>
      <c r="F371" s="20">
        <f t="shared" si="5"/>
        <v>84767479.6</v>
      </c>
    </row>
    <row r="372" spans="1:6" s="29" customFormat="1" ht="78.75">
      <c r="A372" s="24" t="s">
        <v>246</v>
      </c>
      <c r="B372" s="18" t="s">
        <v>247</v>
      </c>
      <c r="C372" s="18"/>
      <c r="D372" s="19">
        <f>D373</f>
        <v>84377330</v>
      </c>
      <c r="E372" s="20">
        <f>E373</f>
        <v>-27335000</v>
      </c>
      <c r="F372" s="20">
        <f t="shared" si="5"/>
        <v>57042330</v>
      </c>
    </row>
    <row r="373" spans="1:6" s="29" customFormat="1" ht="15.75">
      <c r="A373" s="24" t="s">
        <v>29</v>
      </c>
      <c r="B373" s="18" t="s">
        <v>247</v>
      </c>
      <c r="C373" s="18">
        <v>300</v>
      </c>
      <c r="D373" s="19">
        <f>D374</f>
        <v>84377330</v>
      </c>
      <c r="E373" s="20">
        <f>E374</f>
        <v>-27335000</v>
      </c>
      <c r="F373" s="20">
        <f t="shared" si="5"/>
        <v>57042330</v>
      </c>
    </row>
    <row r="374" spans="1:6" s="29" customFormat="1" ht="31.5">
      <c r="A374" s="24" t="s">
        <v>30</v>
      </c>
      <c r="B374" s="18" t="s">
        <v>247</v>
      </c>
      <c r="C374" s="18">
        <v>310</v>
      </c>
      <c r="D374" s="19">
        <v>84377330</v>
      </c>
      <c r="E374" s="20">
        <f>-29600000+2265000</f>
        <v>-27335000</v>
      </c>
      <c r="F374" s="20">
        <f t="shared" si="5"/>
        <v>57042330</v>
      </c>
    </row>
    <row r="375" spans="1:6" s="29" customFormat="1" ht="110.25">
      <c r="A375" s="24" t="s">
        <v>248</v>
      </c>
      <c r="B375" s="18" t="s">
        <v>249</v>
      </c>
      <c r="C375" s="18"/>
      <c r="D375" s="19">
        <f>D376</f>
        <v>0</v>
      </c>
      <c r="E375" s="20">
        <f>E376</f>
        <v>1055616</v>
      </c>
      <c r="F375" s="20">
        <f t="shared" si="5"/>
        <v>1055616</v>
      </c>
    </row>
    <row r="376" spans="1:6" s="29" customFormat="1" ht="15.75">
      <c r="A376" s="24" t="s">
        <v>29</v>
      </c>
      <c r="B376" s="18" t="s">
        <v>249</v>
      </c>
      <c r="C376" s="18">
        <v>300</v>
      </c>
      <c r="D376" s="19">
        <f>D377</f>
        <v>0</v>
      </c>
      <c r="E376" s="20">
        <f>E377</f>
        <v>1055616</v>
      </c>
      <c r="F376" s="20">
        <f t="shared" si="5"/>
        <v>1055616</v>
      </c>
    </row>
    <row r="377" spans="1:6" s="29" customFormat="1" ht="31.5">
      <c r="A377" s="24" t="s">
        <v>30</v>
      </c>
      <c r="B377" s="18" t="s">
        <v>249</v>
      </c>
      <c r="C377" s="18">
        <v>310</v>
      </c>
      <c r="D377" s="19">
        <v>0</v>
      </c>
      <c r="E377" s="26">
        <f>4618320-3562704</f>
        <v>1055616</v>
      </c>
      <c r="F377" s="20">
        <f t="shared" si="5"/>
        <v>1055616</v>
      </c>
    </row>
    <row r="378" spans="1:6" s="29" customFormat="1" ht="15.75">
      <c r="A378" s="44" t="s">
        <v>250</v>
      </c>
      <c r="B378" s="18" t="s">
        <v>251</v>
      </c>
      <c r="C378" s="18"/>
      <c r="D378" s="19">
        <f>SUM(D379,D386,D389,D392,D395,D398)</f>
        <v>5350000</v>
      </c>
      <c r="E378" s="20">
        <f>SUM(E379,E386,E389,E392,E395,E398)</f>
        <v>-300000</v>
      </c>
      <c r="F378" s="20">
        <f t="shared" si="5"/>
        <v>5050000</v>
      </c>
    </row>
    <row r="379" spans="1:6" s="29" customFormat="1" ht="78.75">
      <c r="A379" s="24" t="s">
        <v>252</v>
      </c>
      <c r="B379" s="18" t="s">
        <v>253</v>
      </c>
      <c r="C379" s="18"/>
      <c r="D379" s="19">
        <f>D382+D380+D384</f>
        <v>1950000</v>
      </c>
      <c r="E379" s="20">
        <f>E382+E380+E384</f>
        <v>0</v>
      </c>
      <c r="F379" s="20">
        <f t="shared" si="5"/>
        <v>1950000</v>
      </c>
    </row>
    <row r="380" spans="1:6" s="12" customFormat="1" ht="31.5">
      <c r="A380" s="28" t="s">
        <v>27</v>
      </c>
      <c r="B380" s="18" t="s">
        <v>253</v>
      </c>
      <c r="C380" s="18">
        <v>200</v>
      </c>
      <c r="D380" s="19">
        <f>D381</f>
        <v>600000</v>
      </c>
      <c r="E380" s="20">
        <f>E381</f>
        <v>0</v>
      </c>
      <c r="F380" s="20">
        <f t="shared" si="5"/>
        <v>600000</v>
      </c>
    </row>
    <row r="381" spans="1:6" s="12" customFormat="1" ht="31.5">
      <c r="A381" s="28" t="s">
        <v>28</v>
      </c>
      <c r="B381" s="18" t="s">
        <v>253</v>
      </c>
      <c r="C381" s="18">
        <v>240</v>
      </c>
      <c r="D381" s="19">
        <v>600000</v>
      </c>
      <c r="E381" s="26">
        <v>0</v>
      </c>
      <c r="F381" s="20">
        <f t="shared" si="5"/>
        <v>600000</v>
      </c>
    </row>
    <row r="382" spans="1:6" s="12" customFormat="1" ht="31.5">
      <c r="A382" s="28" t="s">
        <v>33</v>
      </c>
      <c r="B382" s="18" t="s">
        <v>253</v>
      </c>
      <c r="C382" s="18">
        <v>400</v>
      </c>
      <c r="D382" s="19">
        <f>D383</f>
        <v>900000</v>
      </c>
      <c r="E382" s="20">
        <f>E383</f>
        <v>0</v>
      </c>
      <c r="F382" s="20">
        <f t="shared" si="5"/>
        <v>900000</v>
      </c>
    </row>
    <row r="383" spans="1:6" s="12" customFormat="1" ht="15.75">
      <c r="A383" s="28" t="s">
        <v>34</v>
      </c>
      <c r="B383" s="18" t="s">
        <v>253</v>
      </c>
      <c r="C383" s="18">
        <v>410</v>
      </c>
      <c r="D383" s="19">
        <v>900000</v>
      </c>
      <c r="E383" s="26">
        <v>0</v>
      </c>
      <c r="F383" s="20">
        <f t="shared" si="5"/>
        <v>900000</v>
      </c>
    </row>
    <row r="384" spans="1:6" s="12" customFormat="1" ht="31.5">
      <c r="A384" s="28" t="s">
        <v>14</v>
      </c>
      <c r="B384" s="18" t="s">
        <v>253</v>
      </c>
      <c r="C384" s="18">
        <v>600</v>
      </c>
      <c r="D384" s="19">
        <f>D385</f>
        <v>450000</v>
      </c>
      <c r="E384" s="20">
        <f>E385</f>
        <v>0</v>
      </c>
      <c r="F384" s="20">
        <f t="shared" si="5"/>
        <v>450000</v>
      </c>
    </row>
    <row r="385" spans="1:6" s="12" customFormat="1" ht="15.75">
      <c r="A385" s="28" t="s">
        <v>15</v>
      </c>
      <c r="B385" s="18" t="s">
        <v>253</v>
      </c>
      <c r="C385" s="18">
        <v>610</v>
      </c>
      <c r="D385" s="19">
        <v>450000</v>
      </c>
      <c r="E385" s="26">
        <v>0</v>
      </c>
      <c r="F385" s="20">
        <f t="shared" si="5"/>
        <v>450000</v>
      </c>
    </row>
    <row r="386" spans="1:6" s="29" customFormat="1" ht="31.5">
      <c r="A386" s="37" t="s">
        <v>254</v>
      </c>
      <c r="B386" s="18" t="s">
        <v>255</v>
      </c>
      <c r="C386" s="38"/>
      <c r="D386" s="19">
        <f>D387</f>
        <v>300000</v>
      </c>
      <c r="E386" s="20">
        <f>E387</f>
        <v>-300000</v>
      </c>
      <c r="F386" s="20">
        <f t="shared" si="5"/>
        <v>0</v>
      </c>
    </row>
    <row r="387" spans="1:6" s="29" customFormat="1" ht="31.5">
      <c r="A387" s="28" t="s">
        <v>27</v>
      </c>
      <c r="B387" s="18" t="s">
        <v>255</v>
      </c>
      <c r="C387" s="38" t="s">
        <v>109</v>
      </c>
      <c r="D387" s="19">
        <f>D388</f>
        <v>300000</v>
      </c>
      <c r="E387" s="20">
        <f>E388</f>
        <v>-300000</v>
      </c>
      <c r="F387" s="20">
        <f t="shared" si="5"/>
        <v>0</v>
      </c>
    </row>
    <row r="388" spans="1:6" s="29" customFormat="1" ht="31.5">
      <c r="A388" s="28" t="s">
        <v>28</v>
      </c>
      <c r="B388" s="18" t="s">
        <v>255</v>
      </c>
      <c r="C388" s="38" t="s">
        <v>110</v>
      </c>
      <c r="D388" s="19">
        <v>300000</v>
      </c>
      <c r="E388" s="20">
        <v>-300000</v>
      </c>
      <c r="F388" s="20">
        <f t="shared" si="5"/>
        <v>0</v>
      </c>
    </row>
    <row r="389" spans="1:6" s="12" customFormat="1" ht="47.25">
      <c r="A389" s="17" t="s">
        <v>256</v>
      </c>
      <c r="B389" s="18" t="s">
        <v>257</v>
      </c>
      <c r="C389" s="18"/>
      <c r="D389" s="19">
        <f>D390</f>
        <v>1550000</v>
      </c>
      <c r="E389" s="20">
        <f>E390</f>
        <v>0</v>
      </c>
      <c r="F389" s="20">
        <f t="shared" si="5"/>
        <v>1550000</v>
      </c>
    </row>
    <row r="390" spans="1:6" s="12" customFormat="1" ht="31.5">
      <c r="A390" s="28" t="s">
        <v>27</v>
      </c>
      <c r="B390" s="18" t="s">
        <v>257</v>
      </c>
      <c r="C390" s="18">
        <v>200</v>
      </c>
      <c r="D390" s="19">
        <f>D391</f>
        <v>1550000</v>
      </c>
      <c r="E390" s="20">
        <f>E391</f>
        <v>0</v>
      </c>
      <c r="F390" s="20">
        <f t="shared" si="5"/>
        <v>1550000</v>
      </c>
    </row>
    <row r="391" spans="1:6" s="12" customFormat="1" ht="31.5">
      <c r="A391" s="28" t="s">
        <v>28</v>
      </c>
      <c r="B391" s="18" t="s">
        <v>257</v>
      </c>
      <c r="C391" s="18">
        <v>240</v>
      </c>
      <c r="D391" s="19">
        <v>1550000</v>
      </c>
      <c r="E391" s="26">
        <v>0</v>
      </c>
      <c r="F391" s="20">
        <f t="shared" si="5"/>
        <v>1550000</v>
      </c>
    </row>
    <row r="392" spans="1:6" s="12" customFormat="1" ht="31.5">
      <c r="A392" s="24" t="s">
        <v>258</v>
      </c>
      <c r="B392" s="18" t="s">
        <v>259</v>
      </c>
      <c r="C392" s="18"/>
      <c r="D392" s="19">
        <f>D393</f>
        <v>1200000</v>
      </c>
      <c r="E392" s="20">
        <f>E393</f>
        <v>0</v>
      </c>
      <c r="F392" s="20">
        <f aca="true" t="shared" si="6" ref="F392:F455">SUM(D392:E392)</f>
        <v>1200000</v>
      </c>
    </row>
    <row r="393" spans="1:6" s="29" customFormat="1" ht="31.5">
      <c r="A393" s="28" t="s">
        <v>27</v>
      </c>
      <c r="B393" s="18" t="s">
        <v>259</v>
      </c>
      <c r="C393" s="18">
        <v>200</v>
      </c>
      <c r="D393" s="19">
        <f>D394</f>
        <v>1200000</v>
      </c>
      <c r="E393" s="20">
        <f>E394</f>
        <v>0</v>
      </c>
      <c r="F393" s="20">
        <f t="shared" si="6"/>
        <v>1200000</v>
      </c>
    </row>
    <row r="394" spans="1:6" s="12" customFormat="1" ht="31.5">
      <c r="A394" s="28" t="s">
        <v>28</v>
      </c>
      <c r="B394" s="18" t="s">
        <v>259</v>
      </c>
      <c r="C394" s="18">
        <v>240</v>
      </c>
      <c r="D394" s="19">
        <v>1200000</v>
      </c>
      <c r="E394" s="26">
        <v>0</v>
      </c>
      <c r="F394" s="20">
        <f t="shared" si="6"/>
        <v>1200000</v>
      </c>
    </row>
    <row r="395" spans="1:6" s="12" customFormat="1" ht="31.5">
      <c r="A395" s="24" t="s">
        <v>260</v>
      </c>
      <c r="B395" s="18" t="s">
        <v>261</v>
      </c>
      <c r="C395" s="18"/>
      <c r="D395" s="19">
        <f>D396</f>
        <v>200000</v>
      </c>
      <c r="E395" s="20">
        <f>E396</f>
        <v>0</v>
      </c>
      <c r="F395" s="20">
        <f t="shared" si="6"/>
        <v>200000</v>
      </c>
    </row>
    <row r="396" spans="1:6" s="29" customFormat="1" ht="31.5">
      <c r="A396" s="28" t="s">
        <v>27</v>
      </c>
      <c r="B396" s="18" t="s">
        <v>261</v>
      </c>
      <c r="C396" s="18">
        <v>200</v>
      </c>
      <c r="D396" s="19">
        <f>D397</f>
        <v>200000</v>
      </c>
      <c r="E396" s="20">
        <f>E397</f>
        <v>0</v>
      </c>
      <c r="F396" s="20">
        <f t="shared" si="6"/>
        <v>200000</v>
      </c>
    </row>
    <row r="397" spans="1:6" s="12" customFormat="1" ht="31.5">
      <c r="A397" s="28" t="s">
        <v>28</v>
      </c>
      <c r="B397" s="18" t="s">
        <v>261</v>
      </c>
      <c r="C397" s="18">
        <v>240</v>
      </c>
      <c r="D397" s="19">
        <v>200000</v>
      </c>
      <c r="E397" s="26">
        <v>0</v>
      </c>
      <c r="F397" s="20">
        <f t="shared" si="6"/>
        <v>200000</v>
      </c>
    </row>
    <row r="398" spans="1:6" s="12" customFormat="1" ht="31.5">
      <c r="A398" s="24" t="s">
        <v>262</v>
      </c>
      <c r="B398" s="18" t="s">
        <v>263</v>
      </c>
      <c r="C398" s="18"/>
      <c r="D398" s="19">
        <f>D399</f>
        <v>150000</v>
      </c>
      <c r="E398" s="20">
        <f>E399</f>
        <v>0</v>
      </c>
      <c r="F398" s="20">
        <f t="shared" si="6"/>
        <v>150000</v>
      </c>
    </row>
    <row r="399" spans="1:6" s="12" customFormat="1" ht="31.5">
      <c r="A399" s="24" t="s">
        <v>14</v>
      </c>
      <c r="B399" s="18" t="s">
        <v>263</v>
      </c>
      <c r="C399" s="18">
        <v>600</v>
      </c>
      <c r="D399" s="19">
        <f>D400</f>
        <v>150000</v>
      </c>
      <c r="E399" s="20">
        <f>E400</f>
        <v>0</v>
      </c>
      <c r="F399" s="20">
        <f t="shared" si="6"/>
        <v>150000</v>
      </c>
    </row>
    <row r="400" spans="1:6" s="29" customFormat="1" ht="15.75">
      <c r="A400" s="24" t="s">
        <v>15</v>
      </c>
      <c r="B400" s="18" t="s">
        <v>263</v>
      </c>
      <c r="C400" s="18">
        <v>610</v>
      </c>
      <c r="D400" s="19">
        <v>150000</v>
      </c>
      <c r="E400" s="26">
        <v>0</v>
      </c>
      <c r="F400" s="20">
        <f t="shared" si="6"/>
        <v>150000</v>
      </c>
    </row>
    <row r="401" spans="1:6" s="12" customFormat="1" ht="15.75">
      <c r="A401" s="24" t="s">
        <v>264</v>
      </c>
      <c r="B401" s="18" t="s">
        <v>265</v>
      </c>
      <c r="C401" s="18"/>
      <c r="D401" s="19">
        <f>D402</f>
        <v>13400000</v>
      </c>
      <c r="E401" s="20">
        <f>E402</f>
        <v>0</v>
      </c>
      <c r="F401" s="20">
        <f t="shared" si="6"/>
        <v>13400000</v>
      </c>
    </row>
    <row r="402" spans="1:6" s="12" customFormat="1" ht="31.5">
      <c r="A402" s="24" t="s">
        <v>266</v>
      </c>
      <c r="B402" s="18" t="s">
        <v>267</v>
      </c>
      <c r="C402" s="18"/>
      <c r="D402" s="19">
        <f>D405+D403</f>
        <v>13400000</v>
      </c>
      <c r="E402" s="20">
        <f>E405+E403</f>
        <v>0</v>
      </c>
      <c r="F402" s="20">
        <f t="shared" si="6"/>
        <v>13400000</v>
      </c>
    </row>
    <row r="403" spans="1:6" s="29" customFormat="1" ht="31.5">
      <c r="A403" s="28" t="s">
        <v>27</v>
      </c>
      <c r="B403" s="18" t="s">
        <v>267</v>
      </c>
      <c r="C403" s="18">
        <v>200</v>
      </c>
      <c r="D403" s="19">
        <f>D404</f>
        <v>146715</v>
      </c>
      <c r="E403" s="20">
        <f>E404</f>
        <v>0</v>
      </c>
      <c r="F403" s="20">
        <f t="shared" si="6"/>
        <v>146715</v>
      </c>
    </row>
    <row r="404" spans="1:6" s="29" customFormat="1" ht="31.5">
      <c r="A404" s="28" t="s">
        <v>28</v>
      </c>
      <c r="B404" s="18" t="s">
        <v>267</v>
      </c>
      <c r="C404" s="18">
        <v>240</v>
      </c>
      <c r="D404" s="19">
        <v>146715</v>
      </c>
      <c r="E404" s="26">
        <v>0</v>
      </c>
      <c r="F404" s="20">
        <f t="shared" si="6"/>
        <v>146715</v>
      </c>
    </row>
    <row r="405" spans="1:6" s="29" customFormat="1" ht="15.75">
      <c r="A405" s="24" t="s">
        <v>29</v>
      </c>
      <c r="B405" s="18" t="s">
        <v>267</v>
      </c>
      <c r="C405" s="18">
        <v>300</v>
      </c>
      <c r="D405" s="19">
        <f>D406</f>
        <v>13253285</v>
      </c>
      <c r="E405" s="20">
        <f>E406</f>
        <v>0</v>
      </c>
      <c r="F405" s="20">
        <f t="shared" si="6"/>
        <v>13253285</v>
      </c>
    </row>
    <row r="406" spans="1:6" s="29" customFormat="1" ht="31.5">
      <c r="A406" s="24" t="s">
        <v>211</v>
      </c>
      <c r="B406" s="18" t="s">
        <v>267</v>
      </c>
      <c r="C406" s="18">
        <v>320</v>
      </c>
      <c r="D406" s="19">
        <v>13253285</v>
      </c>
      <c r="E406" s="26">
        <v>0</v>
      </c>
      <c r="F406" s="20">
        <f t="shared" si="6"/>
        <v>13253285</v>
      </c>
    </row>
    <row r="407" spans="1:6" s="29" customFormat="1" ht="15.75">
      <c r="A407" s="24" t="s">
        <v>268</v>
      </c>
      <c r="B407" s="18" t="s">
        <v>269</v>
      </c>
      <c r="C407" s="18"/>
      <c r="D407" s="19">
        <f>SUM(D408)</f>
        <v>17872294.88</v>
      </c>
      <c r="E407" s="20">
        <f>SUM(E408)</f>
        <v>1636310.32</v>
      </c>
      <c r="F407" s="20">
        <f t="shared" si="6"/>
        <v>19508605.2</v>
      </c>
    </row>
    <row r="408" spans="1:6" s="29" customFormat="1" ht="31.5">
      <c r="A408" s="24" t="s">
        <v>270</v>
      </c>
      <c r="B408" s="18" t="s">
        <v>271</v>
      </c>
      <c r="C408" s="18"/>
      <c r="D408" s="19">
        <f>D409</f>
        <v>17872294.88</v>
      </c>
      <c r="E408" s="20">
        <f>E409</f>
        <v>1636310.32</v>
      </c>
      <c r="F408" s="20">
        <f t="shared" si="6"/>
        <v>19508605.2</v>
      </c>
    </row>
    <row r="409" spans="1:6" s="29" customFormat="1" ht="15.75">
      <c r="A409" s="24" t="s">
        <v>29</v>
      </c>
      <c r="B409" s="18" t="s">
        <v>271</v>
      </c>
      <c r="C409" s="18">
        <v>300</v>
      </c>
      <c r="D409" s="19">
        <f>D410</f>
        <v>17872294.88</v>
      </c>
      <c r="E409" s="20">
        <f>E410</f>
        <v>1636310.32</v>
      </c>
      <c r="F409" s="20">
        <f t="shared" si="6"/>
        <v>19508605.2</v>
      </c>
    </row>
    <row r="410" spans="1:6" s="29" customFormat="1" ht="31.5">
      <c r="A410" s="24" t="s">
        <v>211</v>
      </c>
      <c r="B410" s="18" t="s">
        <v>271</v>
      </c>
      <c r="C410" s="18">
        <v>320</v>
      </c>
      <c r="D410" s="19">
        <v>17872294.88</v>
      </c>
      <c r="E410" s="26">
        <v>1636310.32</v>
      </c>
      <c r="F410" s="20">
        <f t="shared" si="6"/>
        <v>19508605.2</v>
      </c>
    </row>
    <row r="411" spans="1:6" s="29" customFormat="1" ht="47.25">
      <c r="A411" s="24" t="s">
        <v>272</v>
      </c>
      <c r="B411" s="18" t="s">
        <v>273</v>
      </c>
      <c r="C411" s="18"/>
      <c r="D411" s="19">
        <f>SUM(D412,D419)</f>
        <v>31154307</v>
      </c>
      <c r="E411" s="20">
        <f>SUM(E412,E419)</f>
        <v>2449425.96</v>
      </c>
      <c r="F411" s="20">
        <f t="shared" si="6"/>
        <v>33603732.96</v>
      </c>
    </row>
    <row r="412" spans="1:6" s="29" customFormat="1" ht="47.25">
      <c r="A412" s="24" t="s">
        <v>274</v>
      </c>
      <c r="B412" s="18" t="s">
        <v>275</v>
      </c>
      <c r="C412" s="18"/>
      <c r="D412" s="19">
        <f>D413+D415+D417</f>
        <v>19382807</v>
      </c>
      <c r="E412" s="20">
        <f>E413+E415+E417</f>
        <v>1020147</v>
      </c>
      <c r="F412" s="20">
        <f t="shared" si="6"/>
        <v>20402954</v>
      </c>
    </row>
    <row r="413" spans="1:6" s="29" customFormat="1" ht="78.75">
      <c r="A413" s="37" t="s">
        <v>105</v>
      </c>
      <c r="B413" s="18" t="s">
        <v>275</v>
      </c>
      <c r="C413" s="38" t="s">
        <v>106</v>
      </c>
      <c r="D413" s="19">
        <f>D414</f>
        <v>18147807</v>
      </c>
      <c r="E413" s="20">
        <f>E414</f>
        <v>520147</v>
      </c>
      <c r="F413" s="20">
        <f t="shared" si="6"/>
        <v>18667954</v>
      </c>
    </row>
    <row r="414" spans="1:6" s="29" customFormat="1" ht="31.5">
      <c r="A414" s="37" t="s">
        <v>107</v>
      </c>
      <c r="B414" s="18" t="s">
        <v>275</v>
      </c>
      <c r="C414" s="38" t="s">
        <v>108</v>
      </c>
      <c r="D414" s="19">
        <v>18147807</v>
      </c>
      <c r="E414" s="26">
        <v>520147</v>
      </c>
      <c r="F414" s="20">
        <f t="shared" si="6"/>
        <v>18667954</v>
      </c>
    </row>
    <row r="415" spans="1:6" s="12" customFormat="1" ht="31.5">
      <c r="A415" s="28" t="s">
        <v>27</v>
      </c>
      <c r="B415" s="18" t="s">
        <v>275</v>
      </c>
      <c r="C415" s="38" t="s">
        <v>109</v>
      </c>
      <c r="D415" s="19">
        <f>D416</f>
        <v>1200000</v>
      </c>
      <c r="E415" s="20">
        <f>E416</f>
        <v>527954</v>
      </c>
      <c r="F415" s="20">
        <f t="shared" si="6"/>
        <v>1727954</v>
      </c>
    </row>
    <row r="416" spans="1:6" s="12" customFormat="1" ht="31.5">
      <c r="A416" s="28" t="s">
        <v>28</v>
      </c>
      <c r="B416" s="18" t="s">
        <v>275</v>
      </c>
      <c r="C416" s="38" t="s">
        <v>110</v>
      </c>
      <c r="D416" s="19">
        <v>1200000</v>
      </c>
      <c r="E416" s="26">
        <f>500000+27954</f>
        <v>527954</v>
      </c>
      <c r="F416" s="20">
        <f t="shared" si="6"/>
        <v>1727954</v>
      </c>
    </row>
    <row r="417" spans="1:6" s="12" customFormat="1" ht="15.75">
      <c r="A417" s="28" t="s">
        <v>17</v>
      </c>
      <c r="B417" s="18" t="s">
        <v>275</v>
      </c>
      <c r="C417" s="38" t="s">
        <v>111</v>
      </c>
      <c r="D417" s="19">
        <f>D418</f>
        <v>35000</v>
      </c>
      <c r="E417" s="20">
        <f>E418</f>
        <v>-27954</v>
      </c>
      <c r="F417" s="20">
        <f t="shared" si="6"/>
        <v>7046</v>
      </c>
    </row>
    <row r="418" spans="1:6" s="1" customFormat="1" ht="15.75">
      <c r="A418" s="28" t="s">
        <v>112</v>
      </c>
      <c r="B418" s="18" t="s">
        <v>275</v>
      </c>
      <c r="C418" s="38" t="s">
        <v>113</v>
      </c>
      <c r="D418" s="19">
        <v>35000</v>
      </c>
      <c r="E418" s="26">
        <v>-27954</v>
      </c>
      <c r="F418" s="20">
        <f t="shared" si="6"/>
        <v>7046</v>
      </c>
    </row>
    <row r="419" spans="1:6" s="1" customFormat="1" ht="47.25">
      <c r="A419" s="24" t="s">
        <v>276</v>
      </c>
      <c r="B419" s="18" t="s">
        <v>277</v>
      </c>
      <c r="C419" s="18"/>
      <c r="D419" s="19">
        <f>D420+D422</f>
        <v>11771500</v>
      </c>
      <c r="E419" s="20">
        <f>E420+E422</f>
        <v>1429278.96</v>
      </c>
      <c r="F419" s="20">
        <f t="shared" si="6"/>
        <v>13200778.96</v>
      </c>
    </row>
    <row r="420" spans="1:6" s="1" customFormat="1" ht="78.75">
      <c r="A420" s="37" t="s">
        <v>105</v>
      </c>
      <c r="B420" s="18" t="s">
        <v>277</v>
      </c>
      <c r="C420" s="38" t="s">
        <v>106</v>
      </c>
      <c r="D420" s="19">
        <f>D421</f>
        <v>11271500</v>
      </c>
      <c r="E420" s="20">
        <f>E421</f>
        <v>851000</v>
      </c>
      <c r="F420" s="20">
        <f t="shared" si="6"/>
        <v>12122500</v>
      </c>
    </row>
    <row r="421" spans="1:6" s="1" customFormat="1" ht="31.5">
      <c r="A421" s="37" t="s">
        <v>107</v>
      </c>
      <c r="B421" s="18" t="s">
        <v>277</v>
      </c>
      <c r="C421" s="38" t="s">
        <v>108</v>
      </c>
      <c r="D421" s="19">
        <v>11271500</v>
      </c>
      <c r="E421" s="26">
        <v>851000</v>
      </c>
      <c r="F421" s="20">
        <f t="shared" si="6"/>
        <v>12122500</v>
      </c>
    </row>
    <row r="422" spans="1:6" s="1" customFormat="1" ht="31.5">
      <c r="A422" s="28" t="s">
        <v>27</v>
      </c>
      <c r="B422" s="18" t="s">
        <v>277</v>
      </c>
      <c r="C422" s="38" t="s">
        <v>109</v>
      </c>
      <c r="D422" s="19">
        <f>D423</f>
        <v>500000</v>
      </c>
      <c r="E422" s="20">
        <f>E423</f>
        <v>578278.96</v>
      </c>
      <c r="F422" s="20">
        <f t="shared" si="6"/>
        <v>1078278.96</v>
      </c>
    </row>
    <row r="423" spans="1:6" s="12" customFormat="1" ht="31.5">
      <c r="A423" s="28" t="s">
        <v>28</v>
      </c>
      <c r="B423" s="18" t="s">
        <v>277</v>
      </c>
      <c r="C423" s="38" t="s">
        <v>110</v>
      </c>
      <c r="D423" s="19">
        <v>500000</v>
      </c>
      <c r="E423" s="26">
        <f>98278.96+480000</f>
        <v>578278.96</v>
      </c>
      <c r="F423" s="20">
        <f t="shared" si="6"/>
        <v>1078278.96</v>
      </c>
    </row>
    <row r="424" spans="1:6" s="12" customFormat="1" ht="31.5">
      <c r="A424" s="13" t="s">
        <v>278</v>
      </c>
      <c r="B424" s="14" t="s">
        <v>279</v>
      </c>
      <c r="C424" s="14"/>
      <c r="D424" s="15">
        <f>SUM(D425,D431,D437,D440,D445,D451,D454,D460,D463,D448,D434,D457)</f>
        <v>599211927.67</v>
      </c>
      <c r="E424" s="15">
        <f>SUM(E425,E431,E437,E440,E445,E451,E454,E460,E463,E448,E434,E457)</f>
        <v>269626190.03000003</v>
      </c>
      <c r="F424" s="16">
        <f t="shared" si="6"/>
        <v>868838117.7</v>
      </c>
    </row>
    <row r="425" spans="1:6" s="12" customFormat="1" ht="31.5">
      <c r="A425" s="24" t="s">
        <v>280</v>
      </c>
      <c r="B425" s="18" t="s">
        <v>281</v>
      </c>
      <c r="C425" s="18"/>
      <c r="D425" s="25">
        <f>D428+D426</f>
        <v>10000000</v>
      </c>
      <c r="E425" s="22">
        <f>E428+E426</f>
        <v>2408107.3099999996</v>
      </c>
      <c r="F425" s="20">
        <f t="shared" si="6"/>
        <v>12408107.309999999</v>
      </c>
    </row>
    <row r="426" spans="1:6" s="12" customFormat="1" ht="31.5">
      <c r="A426" s="24" t="s">
        <v>27</v>
      </c>
      <c r="B426" s="18" t="s">
        <v>281</v>
      </c>
      <c r="C426" s="18">
        <v>200</v>
      </c>
      <c r="D426" s="25">
        <f>D427</f>
        <v>0</v>
      </c>
      <c r="E426" s="22">
        <f>E427</f>
        <v>2478273.0799999996</v>
      </c>
      <c r="F426" s="20">
        <f t="shared" si="6"/>
        <v>2478273.0799999996</v>
      </c>
    </row>
    <row r="427" spans="1:6" s="12" customFormat="1" ht="31.5">
      <c r="A427" s="24" t="s">
        <v>28</v>
      </c>
      <c r="B427" s="18" t="s">
        <v>281</v>
      </c>
      <c r="C427" s="18">
        <v>240</v>
      </c>
      <c r="D427" s="25">
        <v>0</v>
      </c>
      <c r="E427" s="20">
        <f>3148526.68+500000+770000-600000-583080-500000-257173.6</f>
        <v>2478273.0799999996</v>
      </c>
      <c r="F427" s="20">
        <f t="shared" si="6"/>
        <v>2478273.0799999996</v>
      </c>
    </row>
    <row r="428" spans="1:6" s="12" customFormat="1" ht="15.75">
      <c r="A428" s="24" t="s">
        <v>17</v>
      </c>
      <c r="B428" s="18" t="s">
        <v>281</v>
      </c>
      <c r="C428" s="18">
        <v>800</v>
      </c>
      <c r="D428" s="25">
        <f>D429+D430</f>
        <v>10000000</v>
      </c>
      <c r="E428" s="25">
        <f>E429+E430</f>
        <v>-70165.77000000002</v>
      </c>
      <c r="F428" s="20">
        <f t="shared" si="6"/>
        <v>9929834.23</v>
      </c>
    </row>
    <row r="429" spans="1:6" s="12" customFormat="1" ht="63">
      <c r="A429" s="24" t="s">
        <v>18</v>
      </c>
      <c r="B429" s="18" t="s">
        <v>281</v>
      </c>
      <c r="C429" s="18">
        <v>810</v>
      </c>
      <c r="D429" s="25">
        <v>10000000</v>
      </c>
      <c r="E429" s="26">
        <f>-430065.04+10146.35</f>
        <v>-419918.69</v>
      </c>
      <c r="F429" s="20">
        <f t="shared" si="6"/>
        <v>9580081.31</v>
      </c>
    </row>
    <row r="430" spans="1:6" s="12" customFormat="1" ht="15.75">
      <c r="A430" s="24" t="s">
        <v>112</v>
      </c>
      <c r="B430" s="18" t="s">
        <v>281</v>
      </c>
      <c r="C430" s="18">
        <v>850</v>
      </c>
      <c r="D430" s="25">
        <v>0</v>
      </c>
      <c r="E430" s="26">
        <v>349752.92</v>
      </c>
      <c r="F430" s="20">
        <f t="shared" si="6"/>
        <v>349752.92</v>
      </c>
    </row>
    <row r="431" spans="1:6" s="12" customFormat="1" ht="31.5">
      <c r="A431" s="24" t="s">
        <v>282</v>
      </c>
      <c r="B431" s="18" t="s">
        <v>283</v>
      </c>
      <c r="C431" s="18"/>
      <c r="D431" s="25">
        <f>D432</f>
        <v>6000000</v>
      </c>
      <c r="E431" s="22">
        <f>E432</f>
        <v>-2751937.59</v>
      </c>
      <c r="F431" s="20">
        <f t="shared" si="6"/>
        <v>3248062.41</v>
      </c>
    </row>
    <row r="432" spans="1:6" s="12" customFormat="1" ht="15.75">
      <c r="A432" s="28" t="s">
        <v>17</v>
      </c>
      <c r="B432" s="18" t="s">
        <v>283</v>
      </c>
      <c r="C432" s="18">
        <v>800</v>
      </c>
      <c r="D432" s="25">
        <f>D433</f>
        <v>6000000</v>
      </c>
      <c r="E432" s="22">
        <f>E433</f>
        <v>-2751937.59</v>
      </c>
      <c r="F432" s="20">
        <f t="shared" si="6"/>
        <v>3248062.41</v>
      </c>
    </row>
    <row r="433" spans="1:6" s="12" customFormat="1" ht="63">
      <c r="A433" s="24" t="s">
        <v>18</v>
      </c>
      <c r="B433" s="18" t="s">
        <v>283</v>
      </c>
      <c r="C433" s="18">
        <v>810</v>
      </c>
      <c r="D433" s="25">
        <v>6000000</v>
      </c>
      <c r="E433" s="26">
        <f>-766642.7-732173.15-10146.35-1242975.39</f>
        <v>-2751937.59</v>
      </c>
      <c r="F433" s="20">
        <f t="shared" si="6"/>
        <v>3248062.41</v>
      </c>
    </row>
    <row r="434" spans="1:6" s="12" customFormat="1" ht="63">
      <c r="A434" s="24" t="s">
        <v>284</v>
      </c>
      <c r="B434" s="18" t="s">
        <v>285</v>
      </c>
      <c r="C434" s="18"/>
      <c r="D434" s="25">
        <f>D435</f>
        <v>0</v>
      </c>
      <c r="E434" s="26">
        <f>E435</f>
        <v>1265200</v>
      </c>
      <c r="F434" s="20">
        <f t="shared" si="6"/>
        <v>1265200</v>
      </c>
    </row>
    <row r="435" spans="1:6" s="12" customFormat="1" ht="15.75">
      <c r="A435" s="28" t="s">
        <v>17</v>
      </c>
      <c r="B435" s="18" t="s">
        <v>285</v>
      </c>
      <c r="C435" s="18">
        <v>800</v>
      </c>
      <c r="D435" s="25">
        <f>D436</f>
        <v>0</v>
      </c>
      <c r="E435" s="26">
        <f>E436</f>
        <v>1265200</v>
      </c>
      <c r="F435" s="20">
        <f t="shared" si="6"/>
        <v>1265200</v>
      </c>
    </row>
    <row r="436" spans="1:6" s="12" customFormat="1" ht="63">
      <c r="A436" s="24" t="s">
        <v>18</v>
      </c>
      <c r="B436" s="18" t="s">
        <v>285</v>
      </c>
      <c r="C436" s="18">
        <v>810</v>
      </c>
      <c r="D436" s="25">
        <v>0</v>
      </c>
      <c r="E436" s="26">
        <v>1265200</v>
      </c>
      <c r="F436" s="20">
        <f t="shared" si="6"/>
        <v>1265200</v>
      </c>
    </row>
    <row r="437" spans="1:6" s="12" customFormat="1" ht="47.25">
      <c r="A437" s="24" t="s">
        <v>286</v>
      </c>
      <c r="B437" s="18" t="s">
        <v>287</v>
      </c>
      <c r="C437" s="18"/>
      <c r="D437" s="25">
        <f>D438</f>
        <v>25000000</v>
      </c>
      <c r="E437" s="22">
        <f>E438</f>
        <v>-6030000</v>
      </c>
      <c r="F437" s="20">
        <f t="shared" si="6"/>
        <v>18970000</v>
      </c>
    </row>
    <row r="438" spans="1:6" s="12" customFormat="1" ht="15.75">
      <c r="A438" s="28" t="s">
        <v>17</v>
      </c>
      <c r="B438" s="18" t="s">
        <v>287</v>
      </c>
      <c r="C438" s="18">
        <v>800</v>
      </c>
      <c r="D438" s="25">
        <f>D439</f>
        <v>25000000</v>
      </c>
      <c r="E438" s="22">
        <f>E439</f>
        <v>-6030000</v>
      </c>
      <c r="F438" s="20">
        <f t="shared" si="6"/>
        <v>18970000</v>
      </c>
    </row>
    <row r="439" spans="1:6" s="12" customFormat="1" ht="63">
      <c r="A439" s="24" t="s">
        <v>18</v>
      </c>
      <c r="B439" s="18" t="s">
        <v>287</v>
      </c>
      <c r="C439" s="18">
        <v>810</v>
      </c>
      <c r="D439" s="25">
        <v>25000000</v>
      </c>
      <c r="E439" s="26">
        <f>-3150000-1600000-380000-900000</f>
        <v>-6030000</v>
      </c>
      <c r="F439" s="20">
        <f t="shared" si="6"/>
        <v>18970000</v>
      </c>
    </row>
    <row r="440" spans="1:6" s="12" customFormat="1" ht="47.25">
      <c r="A440" s="24" t="s">
        <v>288</v>
      </c>
      <c r="B440" s="18" t="s">
        <v>289</v>
      </c>
      <c r="C440" s="18"/>
      <c r="D440" s="25">
        <f>D441+D443</f>
        <v>239600000</v>
      </c>
      <c r="E440" s="22">
        <f>E441+E443</f>
        <v>-28751465.07</v>
      </c>
      <c r="F440" s="20">
        <f t="shared" si="6"/>
        <v>210848534.93</v>
      </c>
    </row>
    <row r="441" spans="1:6" s="12" customFormat="1" ht="31.5">
      <c r="A441" s="24" t="s">
        <v>27</v>
      </c>
      <c r="B441" s="18" t="s">
        <v>289</v>
      </c>
      <c r="C441" s="18">
        <v>200</v>
      </c>
      <c r="D441" s="25">
        <f>D442</f>
        <v>4600000</v>
      </c>
      <c r="E441" s="22">
        <f>E442</f>
        <v>-3393695</v>
      </c>
      <c r="F441" s="20">
        <f t="shared" si="6"/>
        <v>1206305</v>
      </c>
    </row>
    <row r="442" spans="1:6" s="12" customFormat="1" ht="31.5">
      <c r="A442" s="24" t="s">
        <v>28</v>
      </c>
      <c r="B442" s="18" t="s">
        <v>289</v>
      </c>
      <c r="C442" s="18">
        <v>240</v>
      </c>
      <c r="D442" s="25">
        <v>4600000</v>
      </c>
      <c r="E442" s="20">
        <v>-3393695</v>
      </c>
      <c r="F442" s="20">
        <f t="shared" si="6"/>
        <v>1206305</v>
      </c>
    </row>
    <row r="443" spans="1:6" s="12" customFormat="1" ht="15.75">
      <c r="A443" s="24" t="s">
        <v>17</v>
      </c>
      <c r="B443" s="18" t="s">
        <v>289</v>
      </c>
      <c r="C443" s="18">
        <v>800</v>
      </c>
      <c r="D443" s="25">
        <f>D444</f>
        <v>235000000</v>
      </c>
      <c r="E443" s="22">
        <f>E444</f>
        <v>-25357770.07</v>
      </c>
      <c r="F443" s="20">
        <f t="shared" si="6"/>
        <v>209642229.93</v>
      </c>
    </row>
    <row r="444" spans="1:6" s="12" customFormat="1" ht="63">
      <c r="A444" s="24" t="s">
        <v>18</v>
      </c>
      <c r="B444" s="18" t="s">
        <v>289</v>
      </c>
      <c r="C444" s="18">
        <v>810</v>
      </c>
      <c r="D444" s="25">
        <v>235000000</v>
      </c>
      <c r="E444" s="20">
        <f>-3148526.68-27710770+16431395.06-7754519+1568007.2-192691.62+583080-7868091.15-7500000+408334.97+1337409.49+1196707.74+8200070.77-5501915.56-1640350+732173.15-4746370.15+10248285.71</f>
        <v>-25357770.07</v>
      </c>
      <c r="F444" s="20">
        <f t="shared" si="6"/>
        <v>209642229.93</v>
      </c>
    </row>
    <row r="445" spans="1:6" s="12" customFormat="1" ht="47.25">
      <c r="A445" s="44" t="s">
        <v>290</v>
      </c>
      <c r="B445" s="18" t="s">
        <v>291</v>
      </c>
      <c r="C445" s="18"/>
      <c r="D445" s="25">
        <f>D446</f>
        <v>20000000</v>
      </c>
      <c r="E445" s="25">
        <f>E446</f>
        <v>1670640.2800000003</v>
      </c>
      <c r="F445" s="20">
        <f t="shared" si="6"/>
        <v>21670640.28</v>
      </c>
    </row>
    <row r="446" spans="1:6" s="12" customFormat="1" ht="15.75">
      <c r="A446" s="24" t="s">
        <v>17</v>
      </c>
      <c r="B446" s="18" t="s">
        <v>291</v>
      </c>
      <c r="C446" s="18">
        <v>800</v>
      </c>
      <c r="D446" s="25">
        <f>D447</f>
        <v>20000000</v>
      </c>
      <c r="E446" s="22">
        <f>E447</f>
        <v>1670640.2800000003</v>
      </c>
      <c r="F446" s="20">
        <f t="shared" si="6"/>
        <v>21670640.28</v>
      </c>
    </row>
    <row r="447" spans="1:6" s="45" customFormat="1" ht="63">
      <c r="A447" s="24" t="s">
        <v>18</v>
      </c>
      <c r="B447" s="18" t="s">
        <v>291</v>
      </c>
      <c r="C447" s="18">
        <v>810</v>
      </c>
      <c r="D447" s="25">
        <v>20000000</v>
      </c>
      <c r="E447" s="26">
        <f>-382902.11-89433+2142975.39</f>
        <v>1670640.2800000003</v>
      </c>
      <c r="F447" s="20">
        <f t="shared" si="6"/>
        <v>21670640.28</v>
      </c>
    </row>
    <row r="448" spans="1:6" s="45" customFormat="1" ht="63">
      <c r="A448" s="24" t="s">
        <v>292</v>
      </c>
      <c r="B448" s="18" t="s">
        <v>293</v>
      </c>
      <c r="C448" s="18"/>
      <c r="D448" s="25">
        <f>D449</f>
        <v>0</v>
      </c>
      <c r="E448" s="22">
        <f>E449</f>
        <v>17545577.11</v>
      </c>
      <c r="F448" s="20">
        <f t="shared" si="6"/>
        <v>17545577.11</v>
      </c>
    </row>
    <row r="449" spans="1:6" s="45" customFormat="1" ht="31.5">
      <c r="A449" s="28" t="s">
        <v>27</v>
      </c>
      <c r="B449" s="18" t="s">
        <v>293</v>
      </c>
      <c r="C449" s="18">
        <v>200</v>
      </c>
      <c r="D449" s="25">
        <f>D450</f>
        <v>0</v>
      </c>
      <c r="E449" s="22">
        <f>E450</f>
        <v>17545577.11</v>
      </c>
      <c r="F449" s="20">
        <f t="shared" si="6"/>
        <v>17545577.11</v>
      </c>
    </row>
    <row r="450" spans="1:6" s="45" customFormat="1" ht="31.5">
      <c r="A450" s="28" t="s">
        <v>28</v>
      </c>
      <c r="B450" s="18" t="s">
        <v>293</v>
      </c>
      <c r="C450" s="18">
        <v>240</v>
      </c>
      <c r="D450" s="25">
        <v>0</v>
      </c>
      <c r="E450" s="26">
        <f>7500000+382902.11+9162675+500000</f>
        <v>17545577.11</v>
      </c>
      <c r="F450" s="20">
        <f t="shared" si="6"/>
        <v>17545577.11</v>
      </c>
    </row>
    <row r="451" spans="1:6" s="45" customFormat="1" ht="31.5">
      <c r="A451" s="24" t="s">
        <v>294</v>
      </c>
      <c r="B451" s="38" t="s">
        <v>295</v>
      </c>
      <c r="C451" s="18"/>
      <c r="D451" s="25">
        <f>D452</f>
        <v>9500000</v>
      </c>
      <c r="E451" s="22">
        <f>E452</f>
        <v>-2124611.8100000024</v>
      </c>
      <c r="F451" s="20">
        <f t="shared" si="6"/>
        <v>7375388.189999998</v>
      </c>
    </row>
    <row r="452" spans="1:6" s="45" customFormat="1" ht="31.5">
      <c r="A452" s="24" t="s">
        <v>33</v>
      </c>
      <c r="B452" s="38" t="s">
        <v>295</v>
      </c>
      <c r="C452" s="18">
        <v>400</v>
      </c>
      <c r="D452" s="25">
        <f>D453</f>
        <v>9500000</v>
      </c>
      <c r="E452" s="22">
        <f>E453</f>
        <v>-2124611.8100000024</v>
      </c>
      <c r="F452" s="20">
        <f t="shared" si="6"/>
        <v>7375388.189999998</v>
      </c>
    </row>
    <row r="453" spans="1:6" s="45" customFormat="1" ht="16.5">
      <c r="A453" s="24" t="s">
        <v>34</v>
      </c>
      <c r="B453" s="38" t="s">
        <v>295</v>
      </c>
      <c r="C453" s="18">
        <v>410</v>
      </c>
      <c r="D453" s="25">
        <v>9500000</v>
      </c>
      <c r="E453" s="20">
        <f>-9925.67+20000000+972107.07-500000+302000-1505227.26-91052.11-92579.32-6500000-14697342.78-2591.74</f>
        <v>-2124611.8100000024</v>
      </c>
      <c r="F453" s="20">
        <f t="shared" si="6"/>
        <v>7375388.189999998</v>
      </c>
    </row>
    <row r="454" spans="1:6" s="29" customFormat="1" ht="94.5">
      <c r="A454" s="24" t="s">
        <v>296</v>
      </c>
      <c r="B454" s="38" t="s">
        <v>297</v>
      </c>
      <c r="C454" s="18"/>
      <c r="D454" s="25">
        <f>D455</f>
        <v>166222727.67</v>
      </c>
      <c r="E454" s="22">
        <f>E455</f>
        <v>19820929.00000001</v>
      </c>
      <c r="F454" s="20">
        <f t="shared" si="6"/>
        <v>186043656.67</v>
      </c>
    </row>
    <row r="455" spans="1:6" s="29" customFormat="1" ht="31.5">
      <c r="A455" s="24" t="s">
        <v>33</v>
      </c>
      <c r="B455" s="38" t="s">
        <v>297</v>
      </c>
      <c r="C455" s="18">
        <v>400</v>
      </c>
      <c r="D455" s="25">
        <f>D456</f>
        <v>166222727.67</v>
      </c>
      <c r="E455" s="22">
        <f>E456</f>
        <v>19820929.00000001</v>
      </c>
      <c r="F455" s="20">
        <f t="shared" si="6"/>
        <v>186043656.67</v>
      </c>
    </row>
    <row r="456" spans="1:6" s="29" customFormat="1" ht="15.75">
      <c r="A456" s="24" t="s">
        <v>34</v>
      </c>
      <c r="B456" s="38" t="s">
        <v>297</v>
      </c>
      <c r="C456" s="18">
        <v>410</v>
      </c>
      <c r="D456" s="25">
        <f>164560500.39+1662227.28</f>
        <v>166222727.67</v>
      </c>
      <c r="E456" s="26">
        <f>238312.27-164560500.39+188153467.92-4010350.8</f>
        <v>19820929.00000001</v>
      </c>
      <c r="F456" s="20">
        <f aca="true" t="shared" si="7" ref="F456:F519">SUM(D456:E456)</f>
        <v>186043656.67</v>
      </c>
    </row>
    <row r="457" spans="1:6" s="29" customFormat="1" ht="126">
      <c r="A457" s="27" t="s">
        <v>298</v>
      </c>
      <c r="B457" s="38" t="s">
        <v>299</v>
      </c>
      <c r="C457" s="18"/>
      <c r="D457" s="25">
        <f>D458</f>
        <v>0</v>
      </c>
      <c r="E457" s="26">
        <f>E458</f>
        <v>244073750.8</v>
      </c>
      <c r="F457" s="20">
        <f t="shared" si="7"/>
        <v>244073750.8</v>
      </c>
    </row>
    <row r="458" spans="1:6" s="29" customFormat="1" ht="31.5">
      <c r="A458" s="24" t="s">
        <v>33</v>
      </c>
      <c r="B458" s="38" t="s">
        <v>299</v>
      </c>
      <c r="C458" s="18">
        <v>400</v>
      </c>
      <c r="D458" s="25">
        <f>D459</f>
        <v>0</v>
      </c>
      <c r="E458" s="26">
        <f>E459</f>
        <v>244073750.8</v>
      </c>
      <c r="F458" s="20">
        <f t="shared" si="7"/>
        <v>244073750.8</v>
      </c>
    </row>
    <row r="459" spans="1:6" s="29" customFormat="1" ht="15.75">
      <c r="A459" s="24" t="s">
        <v>34</v>
      </c>
      <c r="B459" s="38" t="s">
        <v>299</v>
      </c>
      <c r="C459" s="18">
        <v>410</v>
      </c>
      <c r="D459" s="25">
        <v>0</v>
      </c>
      <c r="E459" s="26">
        <f>2400633.34+237662766.66+4010350.8</f>
        <v>244073750.8</v>
      </c>
      <c r="F459" s="20">
        <f t="shared" si="7"/>
        <v>244073750.8</v>
      </c>
    </row>
    <row r="460" spans="1:6" s="29" customFormat="1" ht="78.75">
      <c r="A460" s="24" t="s">
        <v>300</v>
      </c>
      <c r="B460" s="38" t="s">
        <v>301</v>
      </c>
      <c r="C460" s="18"/>
      <c r="D460" s="25">
        <f>D461</f>
        <v>63193000</v>
      </c>
      <c r="E460" s="22">
        <f>E461</f>
        <v>0</v>
      </c>
      <c r="F460" s="20">
        <f t="shared" si="7"/>
        <v>63193000</v>
      </c>
    </row>
    <row r="461" spans="1:6" s="29" customFormat="1" ht="31.5">
      <c r="A461" s="28" t="s">
        <v>27</v>
      </c>
      <c r="B461" s="38" t="s">
        <v>301</v>
      </c>
      <c r="C461" s="18">
        <v>200</v>
      </c>
      <c r="D461" s="25">
        <f>D462</f>
        <v>63193000</v>
      </c>
      <c r="E461" s="22">
        <f>E462</f>
        <v>0</v>
      </c>
      <c r="F461" s="20">
        <f t="shared" si="7"/>
        <v>63193000</v>
      </c>
    </row>
    <row r="462" spans="1:6" s="29" customFormat="1" ht="31.5">
      <c r="A462" s="28" t="s">
        <v>28</v>
      </c>
      <c r="B462" s="38" t="s">
        <v>301</v>
      </c>
      <c r="C462" s="18">
        <v>240</v>
      </c>
      <c r="D462" s="25">
        <v>63193000</v>
      </c>
      <c r="E462" s="26">
        <v>0</v>
      </c>
      <c r="F462" s="20">
        <f t="shared" si="7"/>
        <v>63193000</v>
      </c>
    </row>
    <row r="463" spans="1:6" s="29" customFormat="1" ht="78.75">
      <c r="A463" s="28" t="s">
        <v>302</v>
      </c>
      <c r="B463" s="38" t="s">
        <v>303</v>
      </c>
      <c r="C463" s="18"/>
      <c r="D463" s="25">
        <f>D464</f>
        <v>59696200</v>
      </c>
      <c r="E463" s="22">
        <f>E464</f>
        <v>22500000</v>
      </c>
      <c r="F463" s="20">
        <f t="shared" si="7"/>
        <v>82196200</v>
      </c>
    </row>
    <row r="464" spans="1:6" s="29" customFormat="1" ht="31.5">
      <c r="A464" s="28" t="s">
        <v>27</v>
      </c>
      <c r="B464" s="38" t="s">
        <v>303</v>
      </c>
      <c r="C464" s="18">
        <v>200</v>
      </c>
      <c r="D464" s="25">
        <f>D465</f>
        <v>59696200</v>
      </c>
      <c r="E464" s="22">
        <f>E465</f>
        <v>22500000</v>
      </c>
      <c r="F464" s="20">
        <f t="shared" si="7"/>
        <v>82196200</v>
      </c>
    </row>
    <row r="465" spans="1:6" s="29" customFormat="1" ht="31.5">
      <c r="A465" s="28" t="s">
        <v>28</v>
      </c>
      <c r="B465" s="38" t="s">
        <v>303</v>
      </c>
      <c r="C465" s="18">
        <v>240</v>
      </c>
      <c r="D465" s="25">
        <v>59696200</v>
      </c>
      <c r="E465" s="26">
        <v>22500000</v>
      </c>
      <c r="F465" s="20">
        <f t="shared" si="7"/>
        <v>82196200</v>
      </c>
    </row>
    <row r="466" spans="1:6" s="29" customFormat="1" ht="47.25">
      <c r="A466" s="13" t="s">
        <v>304</v>
      </c>
      <c r="B466" s="14" t="s">
        <v>305</v>
      </c>
      <c r="C466" s="14"/>
      <c r="D466" s="15">
        <f>SUM(D467,D470,D473,D476,D479,D482)</f>
        <v>71000000</v>
      </c>
      <c r="E466" s="15">
        <f>SUM(E467,E470,E473,E476,E479,E482)</f>
        <v>950000</v>
      </c>
      <c r="F466" s="16">
        <f t="shared" si="7"/>
        <v>71950000</v>
      </c>
    </row>
    <row r="467" spans="1:6" s="29" customFormat="1" ht="15.75">
      <c r="A467" s="24" t="s">
        <v>306</v>
      </c>
      <c r="B467" s="18" t="s">
        <v>307</v>
      </c>
      <c r="C467" s="18"/>
      <c r="D467" s="19">
        <f>D468</f>
        <v>300000</v>
      </c>
      <c r="E467" s="20">
        <f>E468</f>
        <v>650000</v>
      </c>
      <c r="F467" s="20">
        <f t="shared" si="7"/>
        <v>950000</v>
      </c>
    </row>
    <row r="468" spans="1:6" s="12" customFormat="1" ht="15.75">
      <c r="A468" s="28" t="s">
        <v>17</v>
      </c>
      <c r="B468" s="18" t="s">
        <v>307</v>
      </c>
      <c r="C468" s="18">
        <v>800</v>
      </c>
      <c r="D468" s="19">
        <f>D469</f>
        <v>300000</v>
      </c>
      <c r="E468" s="20">
        <f>E469</f>
        <v>650000</v>
      </c>
      <c r="F468" s="20">
        <f t="shared" si="7"/>
        <v>950000</v>
      </c>
    </row>
    <row r="469" spans="1:6" s="29" customFormat="1" ht="63">
      <c r="A469" s="24" t="s">
        <v>18</v>
      </c>
      <c r="B469" s="18" t="s">
        <v>307</v>
      </c>
      <c r="C469" s="18">
        <v>810</v>
      </c>
      <c r="D469" s="19">
        <v>300000</v>
      </c>
      <c r="E469" s="26">
        <v>650000</v>
      </c>
      <c r="F469" s="20">
        <f t="shared" si="7"/>
        <v>950000</v>
      </c>
    </row>
    <row r="470" spans="1:6" s="29" customFormat="1" ht="31.5">
      <c r="A470" s="24" t="s">
        <v>308</v>
      </c>
      <c r="B470" s="18" t="s">
        <v>309</v>
      </c>
      <c r="C470" s="18"/>
      <c r="D470" s="19">
        <f>D471</f>
        <v>11500000</v>
      </c>
      <c r="E470" s="20">
        <f>E471</f>
        <v>0</v>
      </c>
      <c r="F470" s="20">
        <f t="shared" si="7"/>
        <v>11500000</v>
      </c>
    </row>
    <row r="471" spans="1:6" s="29" customFormat="1" ht="15.75">
      <c r="A471" s="28" t="s">
        <v>17</v>
      </c>
      <c r="B471" s="18" t="s">
        <v>309</v>
      </c>
      <c r="C471" s="18">
        <v>800</v>
      </c>
      <c r="D471" s="19">
        <f>D472</f>
        <v>11500000</v>
      </c>
      <c r="E471" s="20">
        <f>E472</f>
        <v>0</v>
      </c>
      <c r="F471" s="20">
        <f t="shared" si="7"/>
        <v>11500000</v>
      </c>
    </row>
    <row r="472" spans="1:6" s="29" customFormat="1" ht="15.75">
      <c r="A472" s="24" t="s">
        <v>310</v>
      </c>
      <c r="B472" s="18" t="s">
        <v>309</v>
      </c>
      <c r="C472" s="18">
        <v>880</v>
      </c>
      <c r="D472" s="19">
        <v>11500000</v>
      </c>
      <c r="E472" s="26">
        <v>0</v>
      </c>
      <c r="F472" s="20">
        <f t="shared" si="7"/>
        <v>11500000</v>
      </c>
    </row>
    <row r="473" spans="1:6" s="29" customFormat="1" ht="31.5">
      <c r="A473" s="24" t="s">
        <v>311</v>
      </c>
      <c r="B473" s="18" t="s">
        <v>312</v>
      </c>
      <c r="C473" s="18"/>
      <c r="D473" s="19">
        <f>D474</f>
        <v>55000000</v>
      </c>
      <c r="E473" s="20">
        <f>E474</f>
        <v>0</v>
      </c>
      <c r="F473" s="20">
        <f t="shared" si="7"/>
        <v>55000000</v>
      </c>
    </row>
    <row r="474" spans="1:6" s="29" customFormat="1" ht="15.75">
      <c r="A474" s="24" t="s">
        <v>17</v>
      </c>
      <c r="B474" s="18" t="s">
        <v>312</v>
      </c>
      <c r="C474" s="18">
        <v>800</v>
      </c>
      <c r="D474" s="19">
        <f>D475</f>
        <v>55000000</v>
      </c>
      <c r="E474" s="20">
        <f>E475</f>
        <v>0</v>
      </c>
      <c r="F474" s="20">
        <f t="shared" si="7"/>
        <v>55000000</v>
      </c>
    </row>
    <row r="475" spans="1:6" s="29" customFormat="1" ht="63">
      <c r="A475" s="24" t="s">
        <v>18</v>
      </c>
      <c r="B475" s="18" t="s">
        <v>312</v>
      </c>
      <c r="C475" s="18">
        <v>810</v>
      </c>
      <c r="D475" s="19">
        <v>55000000</v>
      </c>
      <c r="E475" s="26">
        <v>0</v>
      </c>
      <c r="F475" s="20">
        <f t="shared" si="7"/>
        <v>55000000</v>
      </c>
    </row>
    <row r="476" spans="1:6" s="29" customFormat="1" ht="31.5">
      <c r="A476" s="24" t="s">
        <v>313</v>
      </c>
      <c r="B476" s="18" t="s">
        <v>314</v>
      </c>
      <c r="C476" s="18"/>
      <c r="D476" s="19">
        <f>D477</f>
        <v>4000000</v>
      </c>
      <c r="E476" s="20">
        <f>E477</f>
        <v>0</v>
      </c>
      <c r="F476" s="20">
        <f t="shared" si="7"/>
        <v>4000000</v>
      </c>
    </row>
    <row r="477" spans="1:6" s="29" customFormat="1" ht="15.75">
      <c r="A477" s="24" t="s">
        <v>17</v>
      </c>
      <c r="B477" s="18" t="s">
        <v>314</v>
      </c>
      <c r="C477" s="18">
        <v>800</v>
      </c>
      <c r="D477" s="19">
        <f>D478</f>
        <v>4000000</v>
      </c>
      <c r="E477" s="20">
        <f>E478</f>
        <v>0</v>
      </c>
      <c r="F477" s="20">
        <f t="shared" si="7"/>
        <v>4000000</v>
      </c>
    </row>
    <row r="478" spans="1:6" s="29" customFormat="1" ht="63">
      <c r="A478" s="24" t="s">
        <v>18</v>
      </c>
      <c r="B478" s="18" t="s">
        <v>314</v>
      </c>
      <c r="C478" s="18">
        <v>810</v>
      </c>
      <c r="D478" s="19">
        <v>4000000</v>
      </c>
      <c r="E478" s="26">
        <v>0</v>
      </c>
      <c r="F478" s="20">
        <f t="shared" si="7"/>
        <v>4000000</v>
      </c>
    </row>
    <row r="479" spans="1:6" s="29" customFormat="1" ht="47.25">
      <c r="A479" s="24" t="s">
        <v>315</v>
      </c>
      <c r="B479" s="18" t="s">
        <v>316</v>
      </c>
      <c r="C479" s="18"/>
      <c r="D479" s="19">
        <f>D480</f>
        <v>200000</v>
      </c>
      <c r="E479" s="20">
        <f>E480</f>
        <v>0</v>
      </c>
      <c r="F479" s="20">
        <f t="shared" si="7"/>
        <v>200000</v>
      </c>
    </row>
    <row r="480" spans="1:6" s="29" customFormat="1" ht="15.75">
      <c r="A480" s="24" t="s">
        <v>17</v>
      </c>
      <c r="B480" s="18" t="s">
        <v>316</v>
      </c>
      <c r="C480" s="18">
        <v>800</v>
      </c>
      <c r="D480" s="19">
        <f>D481</f>
        <v>200000</v>
      </c>
      <c r="E480" s="20">
        <f>E481</f>
        <v>0</v>
      </c>
      <c r="F480" s="20">
        <f t="shared" si="7"/>
        <v>200000</v>
      </c>
    </row>
    <row r="481" spans="1:6" s="29" customFormat="1" ht="63">
      <c r="A481" s="24" t="s">
        <v>18</v>
      </c>
      <c r="B481" s="18" t="s">
        <v>316</v>
      </c>
      <c r="C481" s="18">
        <v>810</v>
      </c>
      <c r="D481" s="19">
        <v>200000</v>
      </c>
      <c r="E481" s="26">
        <v>0</v>
      </c>
      <c r="F481" s="20">
        <f t="shared" si="7"/>
        <v>200000</v>
      </c>
    </row>
    <row r="482" spans="1:6" s="29" customFormat="1" ht="31.5">
      <c r="A482" s="24" t="s">
        <v>317</v>
      </c>
      <c r="B482" s="18" t="s">
        <v>318</v>
      </c>
      <c r="C482" s="18"/>
      <c r="D482" s="19">
        <f>D483</f>
        <v>0</v>
      </c>
      <c r="E482" s="26">
        <f>E483</f>
        <v>300000</v>
      </c>
      <c r="F482" s="20">
        <f t="shared" si="7"/>
        <v>300000</v>
      </c>
    </row>
    <row r="483" spans="1:6" s="29" customFormat="1" ht="15.75">
      <c r="A483" s="24" t="s">
        <v>17</v>
      </c>
      <c r="B483" s="18" t="s">
        <v>318</v>
      </c>
      <c r="C483" s="18">
        <v>800</v>
      </c>
      <c r="D483" s="19">
        <f>D484</f>
        <v>0</v>
      </c>
      <c r="E483" s="26">
        <f>E484</f>
        <v>300000</v>
      </c>
      <c r="F483" s="20">
        <f t="shared" si="7"/>
        <v>300000</v>
      </c>
    </row>
    <row r="484" spans="1:6" s="29" customFormat="1" ht="63">
      <c r="A484" s="24" t="s">
        <v>18</v>
      </c>
      <c r="B484" s="18" t="s">
        <v>318</v>
      </c>
      <c r="C484" s="18">
        <v>810</v>
      </c>
      <c r="D484" s="19">
        <v>0</v>
      </c>
      <c r="E484" s="26">
        <v>300000</v>
      </c>
      <c r="F484" s="20">
        <f t="shared" si="7"/>
        <v>300000</v>
      </c>
    </row>
    <row r="485" spans="1:6" s="29" customFormat="1" ht="47.25">
      <c r="A485" s="13" t="s">
        <v>319</v>
      </c>
      <c r="B485" s="14" t="s">
        <v>320</v>
      </c>
      <c r="C485" s="14"/>
      <c r="D485" s="15">
        <f>SUM(D486,D489,D492,D495)</f>
        <v>16300000</v>
      </c>
      <c r="E485" s="15">
        <f>SUM(E486,E489,E492,E495)</f>
        <v>-4187409.49</v>
      </c>
      <c r="F485" s="16">
        <f t="shared" si="7"/>
        <v>12112590.51</v>
      </c>
    </row>
    <row r="486" spans="1:6" s="29" customFormat="1" ht="47.25">
      <c r="A486" s="24" t="s">
        <v>321</v>
      </c>
      <c r="B486" s="18" t="s">
        <v>322</v>
      </c>
      <c r="C486" s="18"/>
      <c r="D486" s="19">
        <f>D487</f>
        <v>1300000</v>
      </c>
      <c r="E486" s="20">
        <f>E487</f>
        <v>-950000</v>
      </c>
      <c r="F486" s="20">
        <f t="shared" si="7"/>
        <v>350000</v>
      </c>
    </row>
    <row r="487" spans="1:6" s="12" customFormat="1" ht="15.75">
      <c r="A487" s="28" t="s">
        <v>17</v>
      </c>
      <c r="B487" s="18" t="s">
        <v>322</v>
      </c>
      <c r="C487" s="18">
        <v>800</v>
      </c>
      <c r="D487" s="19">
        <f>D488</f>
        <v>1300000</v>
      </c>
      <c r="E487" s="20">
        <f>E488</f>
        <v>-950000</v>
      </c>
      <c r="F487" s="20">
        <f t="shared" si="7"/>
        <v>350000</v>
      </c>
    </row>
    <row r="488" spans="1:6" s="29" customFormat="1" ht="63">
      <c r="A488" s="24" t="s">
        <v>18</v>
      </c>
      <c r="B488" s="18" t="s">
        <v>322</v>
      </c>
      <c r="C488" s="18">
        <v>810</v>
      </c>
      <c r="D488" s="19">
        <v>1300000</v>
      </c>
      <c r="E488" s="26">
        <f>-300000-650000</f>
        <v>-950000</v>
      </c>
      <c r="F488" s="20">
        <f t="shared" si="7"/>
        <v>350000</v>
      </c>
    </row>
    <row r="489" spans="1:6" s="29" customFormat="1" ht="94.5">
      <c r="A489" s="24" t="s">
        <v>323</v>
      </c>
      <c r="B489" s="18" t="s">
        <v>324</v>
      </c>
      <c r="C489" s="18"/>
      <c r="D489" s="19">
        <f>D490</f>
        <v>12000000</v>
      </c>
      <c r="E489" s="20">
        <f>E490</f>
        <v>-1337409.49</v>
      </c>
      <c r="F489" s="20">
        <f t="shared" si="7"/>
        <v>10662590.51</v>
      </c>
    </row>
    <row r="490" spans="1:6" s="12" customFormat="1" ht="31.5">
      <c r="A490" s="28" t="s">
        <v>27</v>
      </c>
      <c r="B490" s="18" t="s">
        <v>324</v>
      </c>
      <c r="C490" s="18">
        <v>200</v>
      </c>
      <c r="D490" s="19">
        <f>D491</f>
        <v>12000000</v>
      </c>
      <c r="E490" s="20">
        <f>E491</f>
        <v>-1337409.49</v>
      </c>
      <c r="F490" s="20">
        <f t="shared" si="7"/>
        <v>10662590.51</v>
      </c>
    </row>
    <row r="491" spans="1:6" s="29" customFormat="1" ht="31.5">
      <c r="A491" s="28" t="s">
        <v>28</v>
      </c>
      <c r="B491" s="18" t="s">
        <v>324</v>
      </c>
      <c r="C491" s="18">
        <v>240</v>
      </c>
      <c r="D491" s="19">
        <v>12000000</v>
      </c>
      <c r="E491" s="26">
        <v>-1337409.49</v>
      </c>
      <c r="F491" s="20">
        <f t="shared" si="7"/>
        <v>10662590.51</v>
      </c>
    </row>
    <row r="492" spans="1:6" s="29" customFormat="1" ht="15.75">
      <c r="A492" s="24" t="s">
        <v>325</v>
      </c>
      <c r="B492" s="18" t="s">
        <v>326</v>
      </c>
      <c r="C492" s="18"/>
      <c r="D492" s="19">
        <f>D493</f>
        <v>2000000</v>
      </c>
      <c r="E492" s="20">
        <f>E493</f>
        <v>-1900000</v>
      </c>
      <c r="F492" s="20">
        <f t="shared" si="7"/>
        <v>100000</v>
      </c>
    </row>
    <row r="493" spans="1:6" s="29" customFormat="1" ht="31.5">
      <c r="A493" s="24" t="s">
        <v>33</v>
      </c>
      <c r="B493" s="18" t="s">
        <v>326</v>
      </c>
      <c r="C493" s="18">
        <v>400</v>
      </c>
      <c r="D493" s="19">
        <f>D494</f>
        <v>2000000</v>
      </c>
      <c r="E493" s="20">
        <f>E494</f>
        <v>-1900000</v>
      </c>
      <c r="F493" s="20">
        <f t="shared" si="7"/>
        <v>100000</v>
      </c>
    </row>
    <row r="494" spans="1:6" s="29" customFormat="1" ht="110.25">
      <c r="A494" s="24" t="s">
        <v>327</v>
      </c>
      <c r="B494" s="18" t="s">
        <v>326</v>
      </c>
      <c r="C494" s="18">
        <v>460</v>
      </c>
      <c r="D494" s="19">
        <v>2000000</v>
      </c>
      <c r="E494" s="26">
        <v>-1900000</v>
      </c>
      <c r="F494" s="20">
        <f t="shared" si="7"/>
        <v>100000</v>
      </c>
    </row>
    <row r="495" spans="1:6" s="29" customFormat="1" ht="15.75">
      <c r="A495" s="24" t="s">
        <v>328</v>
      </c>
      <c r="B495" s="18" t="s">
        <v>329</v>
      </c>
      <c r="C495" s="18"/>
      <c r="D495" s="19">
        <f>D496</f>
        <v>1000000</v>
      </c>
      <c r="E495" s="20">
        <f>E496</f>
        <v>0</v>
      </c>
      <c r="F495" s="20">
        <f t="shared" si="7"/>
        <v>1000000</v>
      </c>
    </row>
    <row r="496" spans="1:6" s="29" customFormat="1" ht="15.75">
      <c r="A496" s="28" t="s">
        <v>17</v>
      </c>
      <c r="B496" s="18" t="s">
        <v>329</v>
      </c>
      <c r="C496" s="18">
        <v>800</v>
      </c>
      <c r="D496" s="19">
        <f>D497</f>
        <v>1000000</v>
      </c>
      <c r="E496" s="20">
        <f>E497</f>
        <v>0</v>
      </c>
      <c r="F496" s="20">
        <f t="shared" si="7"/>
        <v>1000000</v>
      </c>
    </row>
    <row r="497" spans="1:6" s="29" customFormat="1" ht="63">
      <c r="A497" s="24" t="s">
        <v>18</v>
      </c>
      <c r="B497" s="18" t="s">
        <v>329</v>
      </c>
      <c r="C497" s="18">
        <v>810</v>
      </c>
      <c r="D497" s="19">
        <v>1000000</v>
      </c>
      <c r="E497" s="26">
        <v>0</v>
      </c>
      <c r="F497" s="20">
        <f t="shared" si="7"/>
        <v>1000000</v>
      </c>
    </row>
    <row r="498" spans="1:6" s="29" customFormat="1" ht="31.5">
      <c r="A498" s="13" t="s">
        <v>330</v>
      </c>
      <c r="B498" s="14" t="s">
        <v>331</v>
      </c>
      <c r="C498" s="40"/>
      <c r="D498" s="15">
        <f>SUM(D499,D511,D518,D525)</f>
        <v>198568000</v>
      </c>
      <c r="E498" s="16">
        <f>SUM(E499,E511,E518,E525)</f>
        <v>769055.4599999995</v>
      </c>
      <c r="F498" s="16">
        <f t="shared" si="7"/>
        <v>199337055.46</v>
      </c>
    </row>
    <row r="499" spans="1:6" s="29" customFormat="1" ht="31.5">
      <c r="A499" s="24" t="s">
        <v>332</v>
      </c>
      <c r="B499" s="18" t="s">
        <v>333</v>
      </c>
      <c r="C499" s="18"/>
      <c r="D499" s="19">
        <f>SUM(D500,D505,D508)</f>
        <v>72120000</v>
      </c>
      <c r="E499" s="20">
        <f>SUM(E500,E505,E508)</f>
        <v>0</v>
      </c>
      <c r="F499" s="20">
        <f t="shared" si="7"/>
        <v>72120000</v>
      </c>
    </row>
    <row r="500" spans="1:6" s="12" customFormat="1" ht="31.5">
      <c r="A500" s="24" t="s">
        <v>334</v>
      </c>
      <c r="B500" s="18" t="s">
        <v>335</v>
      </c>
      <c r="C500" s="18"/>
      <c r="D500" s="19">
        <f>D503+D501</f>
        <v>33120000</v>
      </c>
      <c r="E500" s="19">
        <f>E503+E501</f>
        <v>-2000000</v>
      </c>
      <c r="F500" s="20">
        <f t="shared" si="7"/>
        <v>31120000</v>
      </c>
    </row>
    <row r="501" spans="1:6" s="12" customFormat="1" ht="31.5">
      <c r="A501" s="28" t="s">
        <v>27</v>
      </c>
      <c r="B501" s="18" t="s">
        <v>335</v>
      </c>
      <c r="C501" s="18">
        <v>200</v>
      </c>
      <c r="D501" s="19">
        <f>D502</f>
        <v>0</v>
      </c>
      <c r="E501" s="20">
        <f>E502</f>
        <v>453882</v>
      </c>
      <c r="F501" s="20">
        <f t="shared" si="7"/>
        <v>453882</v>
      </c>
    </row>
    <row r="502" spans="1:6" s="12" customFormat="1" ht="31.5">
      <c r="A502" s="28" t="s">
        <v>28</v>
      </c>
      <c r="B502" s="18" t="s">
        <v>335</v>
      </c>
      <c r="C502" s="18">
        <v>240</v>
      </c>
      <c r="D502" s="19">
        <v>0</v>
      </c>
      <c r="E502" s="20">
        <v>453882</v>
      </c>
      <c r="F502" s="20">
        <f t="shared" si="7"/>
        <v>453882</v>
      </c>
    </row>
    <row r="503" spans="1:6" s="29" customFormat="1" ht="15.75">
      <c r="A503" s="28" t="s">
        <v>17</v>
      </c>
      <c r="B503" s="18" t="s">
        <v>335</v>
      </c>
      <c r="C503" s="18">
        <v>800</v>
      </c>
      <c r="D503" s="19">
        <f>D504</f>
        <v>33120000</v>
      </c>
      <c r="E503" s="20">
        <f>E504</f>
        <v>-2453882</v>
      </c>
      <c r="F503" s="20">
        <f t="shared" si="7"/>
        <v>30666118</v>
      </c>
    </row>
    <row r="504" spans="1:6" s="29" customFormat="1" ht="63">
      <c r="A504" s="24" t="s">
        <v>18</v>
      </c>
      <c r="B504" s="18" t="s">
        <v>335</v>
      </c>
      <c r="C504" s="18">
        <v>810</v>
      </c>
      <c r="D504" s="19">
        <v>33120000</v>
      </c>
      <c r="E504" s="26">
        <f>-453882-2000000</f>
        <v>-2453882</v>
      </c>
      <c r="F504" s="20">
        <f t="shared" si="7"/>
        <v>30666118</v>
      </c>
    </row>
    <row r="505" spans="1:6" s="29" customFormat="1" ht="47.25">
      <c r="A505" s="24" t="s">
        <v>336</v>
      </c>
      <c r="B505" s="18" t="s">
        <v>337</v>
      </c>
      <c r="C505" s="18"/>
      <c r="D505" s="19">
        <f>D506</f>
        <v>30000000</v>
      </c>
      <c r="E505" s="20">
        <f>E506</f>
        <v>2000000</v>
      </c>
      <c r="F505" s="20">
        <f t="shared" si="7"/>
        <v>32000000</v>
      </c>
    </row>
    <row r="506" spans="1:6" s="29" customFormat="1" ht="15.75">
      <c r="A506" s="28" t="s">
        <v>17</v>
      </c>
      <c r="B506" s="18" t="s">
        <v>337</v>
      </c>
      <c r="C506" s="18">
        <v>800</v>
      </c>
      <c r="D506" s="19">
        <f>D507</f>
        <v>30000000</v>
      </c>
      <c r="E506" s="20">
        <f>E507</f>
        <v>2000000</v>
      </c>
      <c r="F506" s="20">
        <f t="shared" si="7"/>
        <v>32000000</v>
      </c>
    </row>
    <row r="507" spans="1:6" s="29" customFormat="1" ht="63">
      <c r="A507" s="24" t="s">
        <v>18</v>
      </c>
      <c r="B507" s="18" t="s">
        <v>337</v>
      </c>
      <c r="C507" s="18">
        <v>810</v>
      </c>
      <c r="D507" s="19">
        <v>30000000</v>
      </c>
      <c r="E507" s="26">
        <v>2000000</v>
      </c>
      <c r="F507" s="20">
        <f t="shared" si="7"/>
        <v>32000000</v>
      </c>
    </row>
    <row r="508" spans="1:6" s="29" customFormat="1" ht="31.5">
      <c r="A508" s="17" t="s">
        <v>338</v>
      </c>
      <c r="B508" s="18" t="s">
        <v>339</v>
      </c>
      <c r="C508" s="18"/>
      <c r="D508" s="19">
        <f>D509</f>
        <v>9000000</v>
      </c>
      <c r="E508" s="20">
        <f>E509</f>
        <v>0</v>
      </c>
      <c r="F508" s="20">
        <f t="shared" si="7"/>
        <v>9000000</v>
      </c>
    </row>
    <row r="509" spans="1:6" s="29" customFormat="1" ht="15.75">
      <c r="A509" s="28" t="s">
        <v>17</v>
      </c>
      <c r="B509" s="18" t="s">
        <v>339</v>
      </c>
      <c r="C509" s="18">
        <v>800</v>
      </c>
      <c r="D509" s="19">
        <f>D510</f>
        <v>9000000</v>
      </c>
      <c r="E509" s="20">
        <f>E510</f>
        <v>0</v>
      </c>
      <c r="F509" s="20">
        <f t="shared" si="7"/>
        <v>9000000</v>
      </c>
    </row>
    <row r="510" spans="1:6" s="29" customFormat="1" ht="63">
      <c r="A510" s="24" t="s">
        <v>18</v>
      </c>
      <c r="B510" s="18" t="s">
        <v>339</v>
      </c>
      <c r="C510" s="18">
        <v>810</v>
      </c>
      <c r="D510" s="19">
        <v>9000000</v>
      </c>
      <c r="E510" s="26">
        <v>0</v>
      </c>
      <c r="F510" s="20">
        <f t="shared" si="7"/>
        <v>9000000</v>
      </c>
    </row>
    <row r="511" spans="1:6" s="29" customFormat="1" ht="31.5">
      <c r="A511" s="24" t="s">
        <v>340</v>
      </c>
      <c r="B511" s="18" t="s">
        <v>341</v>
      </c>
      <c r="C511" s="18"/>
      <c r="D511" s="19">
        <f>SUM(D512,D515)</f>
        <v>46000000</v>
      </c>
      <c r="E511" s="20">
        <f>SUM(E512,E515)</f>
        <v>8650000</v>
      </c>
      <c r="F511" s="20">
        <f t="shared" si="7"/>
        <v>54650000</v>
      </c>
    </row>
    <row r="512" spans="1:6" s="29" customFormat="1" ht="31.5">
      <c r="A512" s="24" t="s">
        <v>342</v>
      </c>
      <c r="B512" s="18" t="s">
        <v>343</v>
      </c>
      <c r="C512" s="18"/>
      <c r="D512" s="19">
        <f>D513</f>
        <v>41000000</v>
      </c>
      <c r="E512" s="20">
        <f>E513</f>
        <v>3394617.46</v>
      </c>
      <c r="F512" s="20">
        <f t="shared" si="7"/>
        <v>44394617.46</v>
      </c>
    </row>
    <row r="513" spans="1:6" s="29" customFormat="1" ht="15.75">
      <c r="A513" s="28" t="s">
        <v>17</v>
      </c>
      <c r="B513" s="18" t="s">
        <v>343</v>
      </c>
      <c r="C513" s="18">
        <v>800</v>
      </c>
      <c r="D513" s="19">
        <f>D514</f>
        <v>41000000</v>
      </c>
      <c r="E513" s="20">
        <f>E514</f>
        <v>3394617.46</v>
      </c>
      <c r="F513" s="20">
        <f t="shared" si="7"/>
        <v>44394617.46</v>
      </c>
    </row>
    <row r="514" spans="1:6" s="29" customFormat="1" ht="63">
      <c r="A514" s="24" t="s">
        <v>18</v>
      </c>
      <c r="B514" s="18" t="s">
        <v>343</v>
      </c>
      <c r="C514" s="18">
        <v>810</v>
      </c>
      <c r="D514" s="19">
        <v>41000000</v>
      </c>
      <c r="E514" s="20">
        <f>1394617.46+4000000-2000000</f>
        <v>3394617.46</v>
      </c>
      <c r="F514" s="20">
        <f t="shared" si="7"/>
        <v>44394617.46</v>
      </c>
    </row>
    <row r="515" spans="1:6" s="29" customFormat="1" ht="31.5">
      <c r="A515" s="24" t="s">
        <v>344</v>
      </c>
      <c r="B515" s="18" t="s">
        <v>345</v>
      </c>
      <c r="C515" s="18"/>
      <c r="D515" s="19">
        <f>D516</f>
        <v>5000000</v>
      </c>
      <c r="E515" s="20">
        <f>E516</f>
        <v>5255382.54</v>
      </c>
      <c r="F515" s="20">
        <f t="shared" si="7"/>
        <v>10255382.54</v>
      </c>
    </row>
    <row r="516" spans="1:6" s="29" customFormat="1" ht="31.5">
      <c r="A516" s="24" t="s">
        <v>33</v>
      </c>
      <c r="B516" s="18" t="s">
        <v>345</v>
      </c>
      <c r="C516" s="18">
        <v>400</v>
      </c>
      <c r="D516" s="19">
        <f>D517</f>
        <v>5000000</v>
      </c>
      <c r="E516" s="20">
        <f>E517</f>
        <v>5255382.54</v>
      </c>
      <c r="F516" s="20">
        <f t="shared" si="7"/>
        <v>10255382.54</v>
      </c>
    </row>
    <row r="517" spans="1:6" s="29" customFormat="1" ht="110.25">
      <c r="A517" s="24" t="s">
        <v>327</v>
      </c>
      <c r="B517" s="18" t="s">
        <v>345</v>
      </c>
      <c r="C517" s="18">
        <v>460</v>
      </c>
      <c r="D517" s="19">
        <v>5000000</v>
      </c>
      <c r="E517" s="26">
        <f>4800000+3150000+1900000-4800000+1600000-1394617.46</f>
        <v>5255382.54</v>
      </c>
      <c r="F517" s="20">
        <f t="shared" si="7"/>
        <v>10255382.54</v>
      </c>
    </row>
    <row r="518" spans="1:6" s="29" customFormat="1" ht="31.5">
      <c r="A518" s="17" t="s">
        <v>346</v>
      </c>
      <c r="B518" s="18" t="s">
        <v>347</v>
      </c>
      <c r="C518" s="18"/>
      <c r="D518" s="19">
        <f>D519+D522</f>
        <v>33400000</v>
      </c>
      <c r="E518" s="20">
        <f>E519+E522</f>
        <v>-4930000</v>
      </c>
      <c r="F518" s="20">
        <f t="shared" si="7"/>
        <v>28470000</v>
      </c>
    </row>
    <row r="519" spans="1:6" s="29" customFormat="1" ht="31.5">
      <c r="A519" s="17" t="s">
        <v>348</v>
      </c>
      <c r="B519" s="18" t="s">
        <v>349</v>
      </c>
      <c r="C519" s="18"/>
      <c r="D519" s="19">
        <f>D520</f>
        <v>32000000</v>
      </c>
      <c r="E519" s="20">
        <f>E520</f>
        <v>-5000000</v>
      </c>
      <c r="F519" s="20">
        <f t="shared" si="7"/>
        <v>27000000</v>
      </c>
    </row>
    <row r="520" spans="1:6" s="29" customFormat="1" ht="31.5">
      <c r="A520" s="24" t="s">
        <v>14</v>
      </c>
      <c r="B520" s="18" t="s">
        <v>349</v>
      </c>
      <c r="C520" s="18">
        <v>600</v>
      </c>
      <c r="D520" s="19">
        <f>D521</f>
        <v>32000000</v>
      </c>
      <c r="E520" s="20">
        <f>E521</f>
        <v>-5000000</v>
      </c>
      <c r="F520" s="20">
        <f aca="true" t="shared" si="8" ref="F520:F583">SUM(D520:E520)</f>
        <v>27000000</v>
      </c>
    </row>
    <row r="521" spans="1:6" s="29" customFormat="1" ht="15.75">
      <c r="A521" s="24" t="s">
        <v>83</v>
      </c>
      <c r="B521" s="18" t="s">
        <v>349</v>
      </c>
      <c r="C521" s="18">
        <v>620</v>
      </c>
      <c r="D521" s="19">
        <v>32000000</v>
      </c>
      <c r="E521" s="26">
        <v>-5000000</v>
      </c>
      <c r="F521" s="20">
        <f t="shared" si="8"/>
        <v>27000000</v>
      </c>
    </row>
    <row r="522" spans="1:6" s="29" customFormat="1" ht="31.5">
      <c r="A522" s="17" t="s">
        <v>350</v>
      </c>
      <c r="B522" s="18" t="s">
        <v>351</v>
      </c>
      <c r="C522" s="18"/>
      <c r="D522" s="19">
        <f>D523</f>
        <v>1400000</v>
      </c>
      <c r="E522" s="20">
        <f>E523</f>
        <v>70000</v>
      </c>
      <c r="F522" s="20">
        <f t="shared" si="8"/>
        <v>1470000</v>
      </c>
    </row>
    <row r="523" spans="1:6" s="29" customFormat="1" ht="31.5">
      <c r="A523" s="24" t="s">
        <v>14</v>
      </c>
      <c r="B523" s="18" t="s">
        <v>351</v>
      </c>
      <c r="C523" s="18">
        <v>600</v>
      </c>
      <c r="D523" s="19">
        <f>D524</f>
        <v>1400000</v>
      </c>
      <c r="E523" s="20">
        <f>E524</f>
        <v>70000</v>
      </c>
      <c r="F523" s="20">
        <f t="shared" si="8"/>
        <v>1470000</v>
      </c>
    </row>
    <row r="524" spans="1:6" s="29" customFormat="1" ht="15.75">
      <c r="A524" s="24" t="s">
        <v>83</v>
      </c>
      <c r="B524" s="18" t="s">
        <v>351</v>
      </c>
      <c r="C524" s="18">
        <v>620</v>
      </c>
      <c r="D524" s="19">
        <v>1400000</v>
      </c>
      <c r="E524" s="26">
        <v>70000</v>
      </c>
      <c r="F524" s="20">
        <f t="shared" si="8"/>
        <v>1470000</v>
      </c>
    </row>
    <row r="525" spans="1:6" s="29" customFormat="1" ht="15.75">
      <c r="A525" s="17" t="s">
        <v>352</v>
      </c>
      <c r="B525" s="18" t="s">
        <v>353</v>
      </c>
      <c r="C525" s="18"/>
      <c r="D525" s="19">
        <f>SUM(D526,D533,D536)</f>
        <v>47048000</v>
      </c>
      <c r="E525" s="20">
        <f>SUM(E526,E533,E536)</f>
        <v>-2950944.5400000005</v>
      </c>
      <c r="F525" s="20">
        <f t="shared" si="8"/>
        <v>44097055.46</v>
      </c>
    </row>
    <row r="526" spans="1:6" s="29" customFormat="1" ht="15.75">
      <c r="A526" s="17" t="s">
        <v>354</v>
      </c>
      <c r="B526" s="18" t="s">
        <v>355</v>
      </c>
      <c r="C526" s="18"/>
      <c r="D526" s="19">
        <f>SUM(D527,D529,D531)</f>
        <v>42348000</v>
      </c>
      <c r="E526" s="20">
        <f>SUM(E527,E529,E531)</f>
        <v>-2632093.5700000003</v>
      </c>
      <c r="F526" s="20">
        <f t="shared" si="8"/>
        <v>39715906.43</v>
      </c>
    </row>
    <row r="527" spans="1:6" s="29" customFormat="1" ht="78.75">
      <c r="A527" s="37" t="s">
        <v>105</v>
      </c>
      <c r="B527" s="18" t="s">
        <v>355</v>
      </c>
      <c r="C527" s="18">
        <v>100</v>
      </c>
      <c r="D527" s="19">
        <f>D528</f>
        <v>14948000</v>
      </c>
      <c r="E527" s="20">
        <f>E528</f>
        <v>911400</v>
      </c>
      <c r="F527" s="20">
        <f t="shared" si="8"/>
        <v>15859400</v>
      </c>
    </row>
    <row r="528" spans="1:6" s="29" customFormat="1" ht="15.75">
      <c r="A528" s="37" t="s">
        <v>116</v>
      </c>
      <c r="B528" s="18" t="s">
        <v>355</v>
      </c>
      <c r="C528" s="18">
        <v>110</v>
      </c>
      <c r="D528" s="25">
        <v>14948000</v>
      </c>
      <c r="E528" s="26">
        <v>911400</v>
      </c>
      <c r="F528" s="20">
        <f t="shared" si="8"/>
        <v>15859400</v>
      </c>
    </row>
    <row r="529" spans="1:6" s="29" customFormat="1" ht="31.5">
      <c r="A529" s="28" t="s">
        <v>27</v>
      </c>
      <c r="B529" s="18" t="s">
        <v>355</v>
      </c>
      <c r="C529" s="18">
        <v>200</v>
      </c>
      <c r="D529" s="25">
        <f>D530</f>
        <v>27000000</v>
      </c>
      <c r="E529" s="22">
        <f>E530</f>
        <v>-3300034.5700000003</v>
      </c>
      <c r="F529" s="20">
        <f t="shared" si="8"/>
        <v>23699965.43</v>
      </c>
    </row>
    <row r="530" spans="1:6" s="29" customFormat="1" ht="31.5">
      <c r="A530" s="28" t="s">
        <v>28</v>
      </c>
      <c r="B530" s="18" t="s">
        <v>355</v>
      </c>
      <c r="C530" s="18">
        <v>240</v>
      </c>
      <c r="D530" s="25">
        <v>27000000</v>
      </c>
      <c r="E530" s="26">
        <f>-349090.03-1500000-1450944.54</f>
        <v>-3300034.5700000003</v>
      </c>
      <c r="F530" s="20">
        <f t="shared" si="8"/>
        <v>23699965.43</v>
      </c>
    </row>
    <row r="531" spans="1:6" s="29" customFormat="1" ht="15.75">
      <c r="A531" s="28" t="s">
        <v>17</v>
      </c>
      <c r="B531" s="18" t="s">
        <v>355</v>
      </c>
      <c r="C531" s="18">
        <v>800</v>
      </c>
      <c r="D531" s="25">
        <f>D532</f>
        <v>400000</v>
      </c>
      <c r="E531" s="22">
        <f>E532</f>
        <v>-243459</v>
      </c>
      <c r="F531" s="20">
        <f t="shared" si="8"/>
        <v>156541</v>
      </c>
    </row>
    <row r="532" spans="1:6" s="29" customFormat="1" ht="15.75">
      <c r="A532" s="28" t="s">
        <v>112</v>
      </c>
      <c r="B532" s="18" t="s">
        <v>355</v>
      </c>
      <c r="C532" s="18">
        <v>850</v>
      </c>
      <c r="D532" s="25">
        <v>400000</v>
      </c>
      <c r="E532" s="26">
        <v>-243459</v>
      </c>
      <c r="F532" s="20">
        <f t="shared" si="8"/>
        <v>156541</v>
      </c>
    </row>
    <row r="533" spans="1:6" s="29" customFormat="1" ht="31.5">
      <c r="A533" s="17" t="s">
        <v>356</v>
      </c>
      <c r="B533" s="18" t="s">
        <v>357</v>
      </c>
      <c r="C533" s="18"/>
      <c r="D533" s="25">
        <f>D534</f>
        <v>2000000</v>
      </c>
      <c r="E533" s="22">
        <f>E534</f>
        <v>-57126.97</v>
      </c>
      <c r="F533" s="20">
        <f t="shared" si="8"/>
        <v>1942873.03</v>
      </c>
    </row>
    <row r="534" spans="1:6" s="29" customFormat="1" ht="31.5">
      <c r="A534" s="28" t="s">
        <v>27</v>
      </c>
      <c r="B534" s="18" t="s">
        <v>357</v>
      </c>
      <c r="C534" s="18">
        <v>200</v>
      </c>
      <c r="D534" s="25">
        <f>D535</f>
        <v>2000000</v>
      </c>
      <c r="E534" s="22">
        <f>E535</f>
        <v>-57126.97</v>
      </c>
      <c r="F534" s="20">
        <f t="shared" si="8"/>
        <v>1942873.03</v>
      </c>
    </row>
    <row r="535" spans="1:6" s="29" customFormat="1" ht="31.5">
      <c r="A535" s="28" t="s">
        <v>28</v>
      </c>
      <c r="B535" s="18" t="s">
        <v>357</v>
      </c>
      <c r="C535" s="18">
        <v>240</v>
      </c>
      <c r="D535" s="19">
        <v>2000000</v>
      </c>
      <c r="E535" s="26">
        <v>-57126.97</v>
      </c>
      <c r="F535" s="20">
        <f t="shared" si="8"/>
        <v>1942873.03</v>
      </c>
    </row>
    <row r="536" spans="1:6" s="29" customFormat="1" ht="31.5">
      <c r="A536" s="17" t="s">
        <v>358</v>
      </c>
      <c r="B536" s="18" t="s">
        <v>359</v>
      </c>
      <c r="C536" s="18"/>
      <c r="D536" s="19">
        <f>D537</f>
        <v>2700000</v>
      </c>
      <c r="E536" s="20">
        <f>E537</f>
        <v>-261724</v>
      </c>
      <c r="F536" s="20">
        <f t="shared" si="8"/>
        <v>2438276</v>
      </c>
    </row>
    <row r="537" spans="1:6" s="29" customFormat="1" ht="31.5">
      <c r="A537" s="28" t="s">
        <v>27</v>
      </c>
      <c r="B537" s="18" t="s">
        <v>359</v>
      </c>
      <c r="C537" s="18">
        <v>200</v>
      </c>
      <c r="D537" s="19">
        <f>D538</f>
        <v>2700000</v>
      </c>
      <c r="E537" s="20">
        <f>E538</f>
        <v>-261724</v>
      </c>
      <c r="F537" s="20">
        <f t="shared" si="8"/>
        <v>2438276</v>
      </c>
    </row>
    <row r="538" spans="1:6" s="29" customFormat="1" ht="31.5">
      <c r="A538" s="28" t="s">
        <v>28</v>
      </c>
      <c r="B538" s="18" t="s">
        <v>359</v>
      </c>
      <c r="C538" s="18">
        <v>240</v>
      </c>
      <c r="D538" s="19">
        <v>2700000</v>
      </c>
      <c r="E538" s="26">
        <v>-261724</v>
      </c>
      <c r="F538" s="20">
        <f t="shared" si="8"/>
        <v>2438276</v>
      </c>
    </row>
    <row r="539" spans="1:7" s="29" customFormat="1" ht="47.25">
      <c r="A539" s="13" t="s">
        <v>360</v>
      </c>
      <c r="B539" s="14" t="s">
        <v>361</v>
      </c>
      <c r="C539" s="46"/>
      <c r="D539" s="15">
        <f>SUM(D540,D543,D552,D564,D555,D558,D561,D567,D571,D574,D546,D549)</f>
        <v>106777954</v>
      </c>
      <c r="E539" s="15">
        <f>SUM(E540,E543,E552,E564,E555,E558,E561,E567,E571,E574,E546,E549)</f>
        <v>349489617.11</v>
      </c>
      <c r="F539" s="16">
        <f t="shared" si="8"/>
        <v>456267571.11</v>
      </c>
      <c r="G539" s="47"/>
    </row>
    <row r="540" spans="1:6" s="29" customFormat="1" ht="63">
      <c r="A540" s="24" t="s">
        <v>362</v>
      </c>
      <c r="B540" s="18" t="s">
        <v>363</v>
      </c>
      <c r="C540" s="18"/>
      <c r="D540" s="19">
        <f>D541</f>
        <v>46997954</v>
      </c>
      <c r="E540" s="22">
        <f>E541</f>
        <v>-0.4</v>
      </c>
      <c r="F540" s="20">
        <f t="shared" si="8"/>
        <v>46997953.6</v>
      </c>
    </row>
    <row r="541" spans="1:6" s="12" customFormat="1" ht="31.5">
      <c r="A541" s="24" t="s">
        <v>33</v>
      </c>
      <c r="B541" s="18" t="s">
        <v>363</v>
      </c>
      <c r="C541" s="18">
        <v>400</v>
      </c>
      <c r="D541" s="19">
        <f>D542</f>
        <v>46997954</v>
      </c>
      <c r="E541" s="22">
        <f>E542</f>
        <v>-0.4</v>
      </c>
      <c r="F541" s="20">
        <f t="shared" si="8"/>
        <v>46997953.6</v>
      </c>
    </row>
    <row r="542" spans="1:6" s="29" customFormat="1" ht="15.75">
      <c r="A542" s="24" t="s">
        <v>34</v>
      </c>
      <c r="B542" s="18" t="s">
        <v>363</v>
      </c>
      <c r="C542" s="18">
        <v>410</v>
      </c>
      <c r="D542" s="25">
        <v>46997954</v>
      </c>
      <c r="E542" s="20">
        <f>-0.4</f>
        <v>-0.4</v>
      </c>
      <c r="F542" s="20">
        <f t="shared" si="8"/>
        <v>46997953.6</v>
      </c>
    </row>
    <row r="543" spans="1:6" s="29" customFormat="1" ht="47.25">
      <c r="A543" s="24" t="s">
        <v>364</v>
      </c>
      <c r="B543" s="18" t="s">
        <v>365</v>
      </c>
      <c r="C543" s="18"/>
      <c r="D543" s="25">
        <f>D544</f>
        <v>1500000</v>
      </c>
      <c r="E543" s="20">
        <f>E544</f>
        <v>-598164</v>
      </c>
      <c r="F543" s="20">
        <f t="shared" si="8"/>
        <v>901836</v>
      </c>
    </row>
    <row r="544" spans="1:6" s="29" customFormat="1" ht="31.5">
      <c r="A544" s="24" t="s">
        <v>33</v>
      </c>
      <c r="B544" s="18" t="s">
        <v>365</v>
      </c>
      <c r="C544" s="18">
        <v>400</v>
      </c>
      <c r="D544" s="25">
        <f>D545</f>
        <v>1500000</v>
      </c>
      <c r="E544" s="20">
        <f>E545</f>
        <v>-598164</v>
      </c>
      <c r="F544" s="20">
        <f t="shared" si="8"/>
        <v>901836</v>
      </c>
    </row>
    <row r="545" spans="1:6" s="29" customFormat="1" ht="15.75">
      <c r="A545" s="24" t="s">
        <v>34</v>
      </c>
      <c r="B545" s="18" t="s">
        <v>365</v>
      </c>
      <c r="C545" s="18">
        <v>410</v>
      </c>
      <c r="D545" s="25">
        <v>1500000</v>
      </c>
      <c r="E545" s="20">
        <v>-598164</v>
      </c>
      <c r="F545" s="20">
        <f t="shared" si="8"/>
        <v>901836</v>
      </c>
    </row>
    <row r="546" spans="1:6" s="29" customFormat="1" ht="31.5">
      <c r="A546" s="24" t="s">
        <v>366</v>
      </c>
      <c r="B546" s="18" t="s">
        <v>367</v>
      </c>
      <c r="C546" s="48"/>
      <c r="D546" s="22">
        <f>D547</f>
        <v>0</v>
      </c>
      <c r="E546" s="22">
        <f>E547</f>
        <v>2267400</v>
      </c>
      <c r="F546" s="23">
        <f t="shared" si="8"/>
        <v>2267400</v>
      </c>
    </row>
    <row r="547" spans="1:6" s="29" customFormat="1" ht="31.5">
      <c r="A547" s="24" t="s">
        <v>33</v>
      </c>
      <c r="B547" s="18" t="s">
        <v>367</v>
      </c>
      <c r="C547" s="48">
        <v>400</v>
      </c>
      <c r="D547" s="22">
        <f>D548</f>
        <v>0</v>
      </c>
      <c r="E547" s="22">
        <f>E548</f>
        <v>2267400</v>
      </c>
      <c r="F547" s="23">
        <f t="shared" si="8"/>
        <v>2267400</v>
      </c>
    </row>
    <row r="548" spans="1:6" s="29" customFormat="1" ht="15.75">
      <c r="A548" s="24" t="s">
        <v>34</v>
      </c>
      <c r="B548" s="18" t="s">
        <v>367</v>
      </c>
      <c r="C548" s="48">
        <v>410</v>
      </c>
      <c r="D548" s="22"/>
      <c r="E548" s="20">
        <f>2178000+89400</f>
        <v>2267400</v>
      </c>
      <c r="F548" s="23">
        <f t="shared" si="8"/>
        <v>2267400</v>
      </c>
    </row>
    <row r="549" spans="1:6" s="29" customFormat="1" ht="31.5">
      <c r="A549" s="24" t="s">
        <v>368</v>
      </c>
      <c r="B549" s="18" t="s">
        <v>369</v>
      </c>
      <c r="C549" s="48"/>
      <c r="D549" s="25">
        <f>D550</f>
        <v>0</v>
      </c>
      <c r="E549" s="25">
        <f>E550</f>
        <v>1505227.26</v>
      </c>
      <c r="F549" s="23">
        <f t="shared" si="8"/>
        <v>1505227.26</v>
      </c>
    </row>
    <row r="550" spans="1:6" s="29" customFormat="1" ht="31.5">
      <c r="A550" s="24" t="s">
        <v>33</v>
      </c>
      <c r="B550" s="18" t="s">
        <v>369</v>
      </c>
      <c r="C550" s="48">
        <v>400</v>
      </c>
      <c r="D550" s="25">
        <f>D551</f>
        <v>0</v>
      </c>
      <c r="E550" s="25">
        <f>E551</f>
        <v>1505227.26</v>
      </c>
      <c r="F550" s="23">
        <f t="shared" si="8"/>
        <v>1505227.26</v>
      </c>
    </row>
    <row r="551" spans="1:6" s="29" customFormat="1" ht="15.75">
      <c r="A551" s="24" t="s">
        <v>34</v>
      </c>
      <c r="B551" s="18" t="s">
        <v>369</v>
      </c>
      <c r="C551" s="48">
        <v>410</v>
      </c>
      <c r="D551" s="25">
        <v>0</v>
      </c>
      <c r="E551" s="25">
        <v>1505227.26</v>
      </c>
      <c r="F551" s="23">
        <f t="shared" si="8"/>
        <v>1505227.26</v>
      </c>
    </row>
    <row r="552" spans="1:6" s="29" customFormat="1" ht="31.5">
      <c r="A552" s="24" t="s">
        <v>370</v>
      </c>
      <c r="B552" s="18" t="s">
        <v>371</v>
      </c>
      <c r="C552" s="18"/>
      <c r="D552" s="25">
        <f>D553</f>
        <v>2480000</v>
      </c>
      <c r="E552" s="20">
        <f>E553</f>
        <v>-2388716.12</v>
      </c>
      <c r="F552" s="20">
        <f t="shared" si="8"/>
        <v>91283.87999999989</v>
      </c>
    </row>
    <row r="553" spans="1:6" s="29" customFormat="1" ht="31.5">
      <c r="A553" s="24" t="s">
        <v>33</v>
      </c>
      <c r="B553" s="18" t="s">
        <v>371</v>
      </c>
      <c r="C553" s="18">
        <v>400</v>
      </c>
      <c r="D553" s="25">
        <f>D554</f>
        <v>2480000</v>
      </c>
      <c r="E553" s="20">
        <f>E554</f>
        <v>-2388716.12</v>
      </c>
      <c r="F553" s="20">
        <f t="shared" si="8"/>
        <v>91283.87999999989</v>
      </c>
    </row>
    <row r="554" spans="1:6" s="29" customFormat="1" ht="15.75">
      <c r="A554" s="24" t="s">
        <v>34</v>
      </c>
      <c r="B554" s="18" t="s">
        <v>371</v>
      </c>
      <c r="C554" s="18">
        <v>410</v>
      </c>
      <c r="D554" s="25">
        <v>2480000</v>
      </c>
      <c r="E554" s="20">
        <f>231.77-2480000+91052.11</f>
        <v>-2388716.12</v>
      </c>
      <c r="F554" s="20">
        <f t="shared" si="8"/>
        <v>91283.87999999989</v>
      </c>
    </row>
    <row r="555" spans="1:6" s="29" customFormat="1" ht="110.25">
      <c r="A555" s="27" t="s">
        <v>372</v>
      </c>
      <c r="B555" s="18" t="s">
        <v>373</v>
      </c>
      <c r="C555" s="18"/>
      <c r="D555" s="25">
        <f>D556</f>
        <v>0</v>
      </c>
      <c r="E555" s="26">
        <f>E556</f>
        <v>479939</v>
      </c>
      <c r="F555" s="20">
        <f t="shared" si="8"/>
        <v>479939</v>
      </c>
    </row>
    <row r="556" spans="1:6" s="29" customFormat="1" ht="31.5">
      <c r="A556" s="24" t="s">
        <v>33</v>
      </c>
      <c r="B556" s="18" t="s">
        <v>373</v>
      </c>
      <c r="C556" s="18">
        <v>400</v>
      </c>
      <c r="D556" s="25">
        <f>D557</f>
        <v>0</v>
      </c>
      <c r="E556" s="26">
        <f>E557</f>
        <v>479939</v>
      </c>
      <c r="F556" s="20">
        <f t="shared" si="8"/>
        <v>479939</v>
      </c>
    </row>
    <row r="557" spans="1:6" s="29" customFormat="1" ht="15.75">
      <c r="A557" s="24" t="s">
        <v>34</v>
      </c>
      <c r="B557" s="18" t="s">
        <v>373</v>
      </c>
      <c r="C557" s="18">
        <v>410</v>
      </c>
      <c r="D557" s="25">
        <v>0</v>
      </c>
      <c r="E557" s="20">
        <f>455942+23997</f>
        <v>479939</v>
      </c>
      <c r="F557" s="20">
        <f t="shared" si="8"/>
        <v>479939</v>
      </c>
    </row>
    <row r="558" spans="1:6" s="29" customFormat="1" ht="47.25">
      <c r="A558" s="24" t="s">
        <v>374</v>
      </c>
      <c r="B558" s="18" t="s">
        <v>375</v>
      </c>
      <c r="C558" s="48"/>
      <c r="D558" s="22">
        <f>D559</f>
        <v>0</v>
      </c>
      <c r="E558" s="22">
        <f>E559</f>
        <v>7322653</v>
      </c>
      <c r="F558" s="23">
        <f t="shared" si="8"/>
        <v>7322653</v>
      </c>
    </row>
    <row r="559" spans="1:6" s="29" customFormat="1" ht="31.5">
      <c r="A559" s="24" t="s">
        <v>33</v>
      </c>
      <c r="B559" s="18" t="s">
        <v>375</v>
      </c>
      <c r="C559" s="48">
        <v>400</v>
      </c>
      <c r="D559" s="22">
        <f>D560</f>
        <v>0</v>
      </c>
      <c r="E559" s="22">
        <f>E560</f>
        <v>7322653</v>
      </c>
      <c r="F559" s="23">
        <f t="shared" si="8"/>
        <v>7322653</v>
      </c>
    </row>
    <row r="560" spans="1:6" s="29" customFormat="1" ht="15.75">
      <c r="A560" s="24" t="s">
        <v>34</v>
      </c>
      <c r="B560" s="18" t="s">
        <v>375</v>
      </c>
      <c r="C560" s="48">
        <v>410</v>
      </c>
      <c r="D560" s="22"/>
      <c r="E560" s="20">
        <v>7322653</v>
      </c>
      <c r="F560" s="23">
        <f t="shared" si="8"/>
        <v>7322653</v>
      </c>
    </row>
    <row r="561" spans="1:6" s="29" customFormat="1" ht="31.5">
      <c r="A561" s="28" t="s">
        <v>376</v>
      </c>
      <c r="B561" s="18" t="s">
        <v>377</v>
      </c>
      <c r="C561" s="18"/>
      <c r="D561" s="22">
        <f>D562</f>
        <v>0</v>
      </c>
      <c r="E561" s="22">
        <f>E562</f>
        <v>16510</v>
      </c>
      <c r="F561" s="23">
        <f t="shared" si="8"/>
        <v>16510</v>
      </c>
    </row>
    <row r="562" spans="1:6" s="29" customFormat="1" ht="31.5">
      <c r="A562" s="28" t="s">
        <v>14</v>
      </c>
      <c r="B562" s="18" t="s">
        <v>377</v>
      </c>
      <c r="C562" s="18">
        <v>600</v>
      </c>
      <c r="D562" s="22">
        <f>D563</f>
        <v>0</v>
      </c>
      <c r="E562" s="22">
        <f>E563</f>
        <v>16510</v>
      </c>
      <c r="F562" s="23">
        <f t="shared" si="8"/>
        <v>16510</v>
      </c>
    </row>
    <row r="563" spans="1:6" s="29" customFormat="1" ht="15.75">
      <c r="A563" s="28" t="s">
        <v>15</v>
      </c>
      <c r="B563" s="18" t="s">
        <v>377</v>
      </c>
      <c r="C563" s="18">
        <v>610</v>
      </c>
      <c r="D563" s="22">
        <v>0</v>
      </c>
      <c r="E563" s="20">
        <v>16510</v>
      </c>
      <c r="F563" s="23">
        <f t="shared" si="8"/>
        <v>16510</v>
      </c>
    </row>
    <row r="564" spans="1:6" s="29" customFormat="1" ht="78.75">
      <c r="A564" s="24" t="s">
        <v>378</v>
      </c>
      <c r="B564" s="18" t="s">
        <v>379</v>
      </c>
      <c r="C564" s="18"/>
      <c r="D564" s="25">
        <f>D565</f>
        <v>55800000</v>
      </c>
      <c r="E564" s="22">
        <f>E565</f>
        <v>-55800000</v>
      </c>
      <c r="F564" s="20">
        <f t="shared" si="8"/>
        <v>0</v>
      </c>
    </row>
    <row r="565" spans="1:6" s="29" customFormat="1" ht="31.5">
      <c r="A565" s="24" t="s">
        <v>33</v>
      </c>
      <c r="B565" s="18" t="s">
        <v>379</v>
      </c>
      <c r="C565" s="18">
        <v>400</v>
      </c>
      <c r="D565" s="25">
        <f>D566</f>
        <v>55800000</v>
      </c>
      <c r="E565" s="22">
        <f>E566</f>
        <v>-55800000</v>
      </c>
      <c r="F565" s="20">
        <f t="shared" si="8"/>
        <v>0</v>
      </c>
    </row>
    <row r="566" spans="1:6" s="29" customFormat="1" ht="15.75">
      <c r="A566" s="24" t="s">
        <v>34</v>
      </c>
      <c r="B566" s="18" t="s">
        <v>379</v>
      </c>
      <c r="C566" s="18">
        <v>410</v>
      </c>
      <c r="D566" s="25">
        <v>55800000</v>
      </c>
      <c r="E566" s="26">
        <f>-558000-55242000</f>
        <v>-55800000</v>
      </c>
      <c r="F566" s="20">
        <f t="shared" si="8"/>
        <v>0</v>
      </c>
    </row>
    <row r="567" spans="1:6" s="29" customFormat="1" ht="63">
      <c r="A567" s="24" t="s">
        <v>380</v>
      </c>
      <c r="B567" s="18" t="s">
        <v>381</v>
      </c>
      <c r="C567" s="18"/>
      <c r="D567" s="25">
        <f>D568</f>
        <v>0</v>
      </c>
      <c r="E567" s="26">
        <f>E568</f>
        <v>233141508.37</v>
      </c>
      <c r="F567" s="20">
        <f t="shared" si="8"/>
        <v>233141508.37</v>
      </c>
    </row>
    <row r="568" spans="1:6" s="29" customFormat="1" ht="31.5">
      <c r="A568" s="24" t="s">
        <v>33</v>
      </c>
      <c r="B568" s="18" t="s">
        <v>381</v>
      </c>
      <c r="C568" s="18">
        <v>400</v>
      </c>
      <c r="D568" s="22">
        <f>SUM(D569:D570)</f>
        <v>0</v>
      </c>
      <c r="E568" s="22">
        <f>SUM(E569:E570)</f>
        <v>233141508.37</v>
      </c>
      <c r="F568" s="23">
        <f t="shared" si="8"/>
        <v>233141508.37</v>
      </c>
    </row>
    <row r="569" spans="1:6" s="29" customFormat="1" ht="15.75">
      <c r="A569" s="24" t="s">
        <v>34</v>
      </c>
      <c r="B569" s="18" t="s">
        <v>381</v>
      </c>
      <c r="C569" s="18">
        <v>410</v>
      </c>
      <c r="D569" s="22">
        <v>0</v>
      </c>
      <c r="E569" s="20">
        <f>230810093.93+2331414.44-170292066.92</f>
        <v>62849441.45000002</v>
      </c>
      <c r="F569" s="23">
        <f t="shared" si="8"/>
        <v>62849441.45000002</v>
      </c>
    </row>
    <row r="570" spans="1:6" s="29" customFormat="1" ht="110.25">
      <c r="A570" s="24" t="s">
        <v>327</v>
      </c>
      <c r="B570" s="18" t="s">
        <v>381</v>
      </c>
      <c r="C570" s="18">
        <v>460</v>
      </c>
      <c r="D570" s="22">
        <v>0</v>
      </c>
      <c r="E570" s="20">
        <v>170292066.92</v>
      </c>
      <c r="F570" s="23">
        <f t="shared" si="8"/>
        <v>170292066.92</v>
      </c>
    </row>
    <row r="571" spans="1:6" s="29" customFormat="1" ht="63">
      <c r="A571" s="24" t="s">
        <v>382</v>
      </c>
      <c r="B571" s="18" t="s">
        <v>383</v>
      </c>
      <c r="C571" s="18"/>
      <c r="D571" s="25">
        <f>D572</f>
        <v>0</v>
      </c>
      <c r="E571" s="26">
        <f>E572</f>
        <v>57075260</v>
      </c>
      <c r="F571" s="20">
        <f t="shared" si="8"/>
        <v>57075260</v>
      </c>
    </row>
    <row r="572" spans="1:6" s="29" customFormat="1" ht="31.5">
      <c r="A572" s="24" t="s">
        <v>33</v>
      </c>
      <c r="B572" s="18" t="s">
        <v>383</v>
      </c>
      <c r="C572" s="18">
        <v>400</v>
      </c>
      <c r="D572" s="25">
        <f>D573</f>
        <v>0</v>
      </c>
      <c r="E572" s="26">
        <f>E573</f>
        <v>57075260</v>
      </c>
      <c r="F572" s="20">
        <f t="shared" si="8"/>
        <v>57075260</v>
      </c>
    </row>
    <row r="573" spans="1:6" s="29" customFormat="1" ht="15.75">
      <c r="A573" s="24" t="s">
        <v>34</v>
      </c>
      <c r="B573" s="18" t="s">
        <v>383</v>
      </c>
      <c r="C573" s="18">
        <v>410</v>
      </c>
      <c r="D573" s="25">
        <v>0</v>
      </c>
      <c r="E573" s="26">
        <f>570752.45+56504507.55</f>
        <v>57075260</v>
      </c>
      <c r="F573" s="20">
        <f t="shared" si="8"/>
        <v>57075260</v>
      </c>
    </row>
    <row r="574" spans="1:6" s="29" customFormat="1" ht="78.75">
      <c r="A574" s="24" t="s">
        <v>384</v>
      </c>
      <c r="B574" s="18" t="s">
        <v>385</v>
      </c>
      <c r="C574" s="18"/>
      <c r="D574" s="25">
        <f>D575</f>
        <v>0</v>
      </c>
      <c r="E574" s="26">
        <f>E575</f>
        <v>106468000</v>
      </c>
      <c r="F574" s="20">
        <f t="shared" si="8"/>
        <v>106468000</v>
      </c>
    </row>
    <row r="575" spans="1:6" s="29" customFormat="1" ht="31.5">
      <c r="A575" s="24" t="s">
        <v>33</v>
      </c>
      <c r="B575" s="18" t="s">
        <v>385</v>
      </c>
      <c r="C575" s="18">
        <v>400</v>
      </c>
      <c r="D575" s="25">
        <f>D576</f>
        <v>0</v>
      </c>
      <c r="E575" s="26">
        <f>E576</f>
        <v>106468000</v>
      </c>
      <c r="F575" s="20">
        <f t="shared" si="8"/>
        <v>106468000</v>
      </c>
    </row>
    <row r="576" spans="1:6" s="29" customFormat="1" ht="15.75">
      <c r="A576" s="24" t="s">
        <v>34</v>
      </c>
      <c r="B576" s="18" t="s">
        <v>385</v>
      </c>
      <c r="C576" s="18">
        <v>410</v>
      </c>
      <c r="D576" s="25">
        <v>0</v>
      </c>
      <c r="E576" s="26">
        <f>1064679.71+105403320.29</f>
        <v>106468000</v>
      </c>
      <c r="F576" s="20">
        <f t="shared" si="8"/>
        <v>106468000</v>
      </c>
    </row>
    <row r="577" spans="1:6" s="29" customFormat="1" ht="47.25">
      <c r="A577" s="13" t="s">
        <v>386</v>
      </c>
      <c r="B577" s="14" t="s">
        <v>387</v>
      </c>
      <c r="C577" s="14"/>
      <c r="D577" s="15">
        <f>SUM(D578,D589)</f>
        <v>33380000</v>
      </c>
      <c r="E577" s="16">
        <f>SUM(E578,E589)</f>
        <v>380000</v>
      </c>
      <c r="F577" s="16">
        <f t="shared" si="8"/>
        <v>33760000</v>
      </c>
    </row>
    <row r="578" spans="1:6" s="29" customFormat="1" ht="31.5">
      <c r="A578" s="17" t="s">
        <v>388</v>
      </c>
      <c r="B578" s="18" t="s">
        <v>389</v>
      </c>
      <c r="C578" s="18"/>
      <c r="D578" s="19">
        <f>SUM(D579,D586)</f>
        <v>31030000</v>
      </c>
      <c r="E578" s="20">
        <f>SUM(E579,E586)</f>
        <v>0</v>
      </c>
      <c r="F578" s="20">
        <f t="shared" si="8"/>
        <v>31030000</v>
      </c>
    </row>
    <row r="579" spans="1:6" s="12" customFormat="1" ht="63">
      <c r="A579" s="17" t="s">
        <v>390</v>
      </c>
      <c r="B579" s="18" t="s">
        <v>391</v>
      </c>
      <c r="C579" s="18"/>
      <c r="D579" s="19">
        <f>SUM(D580,D582,D584)</f>
        <v>30230000</v>
      </c>
      <c r="E579" s="20">
        <f>SUM(E580,E582,E584)</f>
        <v>0</v>
      </c>
      <c r="F579" s="20">
        <f t="shared" si="8"/>
        <v>30230000</v>
      </c>
    </row>
    <row r="580" spans="1:6" s="29" customFormat="1" ht="78.75">
      <c r="A580" s="37" t="s">
        <v>105</v>
      </c>
      <c r="B580" s="18" t="s">
        <v>391</v>
      </c>
      <c r="C580" s="18">
        <v>100</v>
      </c>
      <c r="D580" s="19">
        <f>D581</f>
        <v>26175000</v>
      </c>
      <c r="E580" s="20">
        <f>E581</f>
        <v>290000</v>
      </c>
      <c r="F580" s="20">
        <f t="shared" si="8"/>
        <v>26465000</v>
      </c>
    </row>
    <row r="581" spans="1:6" s="29" customFormat="1" ht="15.75">
      <c r="A581" s="37" t="s">
        <v>116</v>
      </c>
      <c r="B581" s="18" t="s">
        <v>391</v>
      </c>
      <c r="C581" s="18">
        <v>110</v>
      </c>
      <c r="D581" s="19">
        <v>26175000</v>
      </c>
      <c r="E581" s="26">
        <v>290000</v>
      </c>
      <c r="F581" s="20">
        <f t="shared" si="8"/>
        <v>26465000</v>
      </c>
    </row>
    <row r="582" spans="1:6" s="29" customFormat="1" ht="31.5">
      <c r="A582" s="28" t="s">
        <v>27</v>
      </c>
      <c r="B582" s="18" t="s">
        <v>391</v>
      </c>
      <c r="C582" s="18">
        <v>200</v>
      </c>
      <c r="D582" s="19">
        <f>D583</f>
        <v>4000000</v>
      </c>
      <c r="E582" s="20">
        <f>E583</f>
        <v>-290000</v>
      </c>
      <c r="F582" s="20">
        <f t="shared" si="8"/>
        <v>3710000</v>
      </c>
    </row>
    <row r="583" spans="1:6" s="29" customFormat="1" ht="31.5">
      <c r="A583" s="28" t="s">
        <v>28</v>
      </c>
      <c r="B583" s="18" t="s">
        <v>391</v>
      </c>
      <c r="C583" s="18">
        <v>240</v>
      </c>
      <c r="D583" s="19">
        <v>4000000</v>
      </c>
      <c r="E583" s="26">
        <v>-290000</v>
      </c>
      <c r="F583" s="20">
        <f t="shared" si="8"/>
        <v>3710000</v>
      </c>
    </row>
    <row r="584" spans="1:6" s="29" customFormat="1" ht="15.75">
      <c r="A584" s="28" t="s">
        <v>17</v>
      </c>
      <c r="B584" s="18" t="s">
        <v>391</v>
      </c>
      <c r="C584" s="18">
        <v>800</v>
      </c>
      <c r="D584" s="19">
        <f>D585</f>
        <v>55000</v>
      </c>
      <c r="E584" s="20">
        <f>E585</f>
        <v>0</v>
      </c>
      <c r="F584" s="20">
        <f aca="true" t="shared" si="9" ref="F584:F647">SUM(D584:E584)</f>
        <v>55000</v>
      </c>
    </row>
    <row r="585" spans="1:6" s="29" customFormat="1" ht="15.75">
      <c r="A585" s="28" t="s">
        <v>112</v>
      </c>
      <c r="B585" s="18" t="s">
        <v>391</v>
      </c>
      <c r="C585" s="18">
        <v>850</v>
      </c>
      <c r="D585" s="19">
        <v>55000</v>
      </c>
      <c r="E585" s="26">
        <v>0</v>
      </c>
      <c r="F585" s="20">
        <f t="shared" si="9"/>
        <v>55000</v>
      </c>
    </row>
    <row r="586" spans="1:6" s="29" customFormat="1" ht="31.5">
      <c r="A586" s="17" t="s">
        <v>392</v>
      </c>
      <c r="B586" s="18" t="s">
        <v>393</v>
      </c>
      <c r="C586" s="18"/>
      <c r="D586" s="19">
        <f>D587</f>
        <v>800000</v>
      </c>
      <c r="E586" s="20">
        <f>E587</f>
        <v>0</v>
      </c>
      <c r="F586" s="20">
        <f t="shared" si="9"/>
        <v>800000</v>
      </c>
    </row>
    <row r="587" spans="1:6" s="29" customFormat="1" ht="31.5">
      <c r="A587" s="28" t="s">
        <v>27</v>
      </c>
      <c r="B587" s="18" t="s">
        <v>393</v>
      </c>
      <c r="C587" s="18">
        <v>200</v>
      </c>
      <c r="D587" s="19">
        <f>D588</f>
        <v>800000</v>
      </c>
      <c r="E587" s="20">
        <f>E588</f>
        <v>0</v>
      </c>
      <c r="F587" s="20">
        <f t="shared" si="9"/>
        <v>800000</v>
      </c>
    </row>
    <row r="588" spans="1:6" s="29" customFormat="1" ht="31.5">
      <c r="A588" s="28" t="s">
        <v>28</v>
      </c>
      <c r="B588" s="18" t="s">
        <v>393</v>
      </c>
      <c r="C588" s="18">
        <v>240</v>
      </c>
      <c r="D588" s="19">
        <v>800000</v>
      </c>
      <c r="E588" s="26">
        <v>0</v>
      </c>
      <c r="F588" s="20">
        <f t="shared" si="9"/>
        <v>800000</v>
      </c>
    </row>
    <row r="589" spans="1:6" s="29" customFormat="1" ht="47.25">
      <c r="A589" s="17" t="s">
        <v>394</v>
      </c>
      <c r="B589" s="18" t="s">
        <v>395</v>
      </c>
      <c r="C589" s="18"/>
      <c r="D589" s="19">
        <f>SUM(D590,D593,D596,D599,D602)</f>
        <v>2350000</v>
      </c>
      <c r="E589" s="20">
        <f>SUM(E590,E593,E596,E599,E602)</f>
        <v>380000</v>
      </c>
      <c r="F589" s="20">
        <f t="shared" si="9"/>
        <v>2730000</v>
      </c>
    </row>
    <row r="590" spans="1:6" s="29" customFormat="1" ht="31.5">
      <c r="A590" s="17" t="s">
        <v>396</v>
      </c>
      <c r="B590" s="18" t="s">
        <v>397</v>
      </c>
      <c r="C590" s="18"/>
      <c r="D590" s="19">
        <f>D591</f>
        <v>800000</v>
      </c>
      <c r="E590" s="20">
        <f>E591</f>
        <v>0</v>
      </c>
      <c r="F590" s="20">
        <f t="shared" si="9"/>
        <v>800000</v>
      </c>
    </row>
    <row r="591" spans="1:6" s="29" customFormat="1" ht="31.5">
      <c r="A591" s="24" t="s">
        <v>14</v>
      </c>
      <c r="B591" s="18" t="s">
        <v>397</v>
      </c>
      <c r="C591" s="18">
        <v>600</v>
      </c>
      <c r="D591" s="19">
        <f>D592</f>
        <v>800000</v>
      </c>
      <c r="E591" s="20">
        <f>E592</f>
        <v>0</v>
      </c>
      <c r="F591" s="20">
        <f t="shared" si="9"/>
        <v>800000</v>
      </c>
    </row>
    <row r="592" spans="1:6" s="29" customFormat="1" ht="15.75">
      <c r="A592" s="24" t="s">
        <v>15</v>
      </c>
      <c r="B592" s="18" t="s">
        <v>397</v>
      </c>
      <c r="C592" s="18">
        <v>610</v>
      </c>
      <c r="D592" s="19">
        <v>800000</v>
      </c>
      <c r="E592" s="26">
        <v>0</v>
      </c>
      <c r="F592" s="20">
        <f t="shared" si="9"/>
        <v>800000</v>
      </c>
    </row>
    <row r="593" spans="1:6" s="29" customFormat="1" ht="31.5">
      <c r="A593" s="17" t="s">
        <v>398</v>
      </c>
      <c r="B593" s="18" t="s">
        <v>399</v>
      </c>
      <c r="C593" s="18"/>
      <c r="D593" s="19">
        <f>D594</f>
        <v>700000</v>
      </c>
      <c r="E593" s="20">
        <f>E594</f>
        <v>380000</v>
      </c>
      <c r="F593" s="20">
        <f t="shared" si="9"/>
        <v>1080000</v>
      </c>
    </row>
    <row r="594" spans="1:6" s="29" customFormat="1" ht="31.5">
      <c r="A594" s="28" t="s">
        <v>27</v>
      </c>
      <c r="B594" s="18" t="s">
        <v>399</v>
      </c>
      <c r="C594" s="18">
        <v>200</v>
      </c>
      <c r="D594" s="19">
        <f>D595</f>
        <v>700000</v>
      </c>
      <c r="E594" s="20">
        <f>E595</f>
        <v>380000</v>
      </c>
      <c r="F594" s="20">
        <f t="shared" si="9"/>
        <v>1080000</v>
      </c>
    </row>
    <row r="595" spans="1:6" s="29" customFormat="1" ht="31.5">
      <c r="A595" s="28" t="s">
        <v>28</v>
      </c>
      <c r="B595" s="18" t="s">
        <v>399</v>
      </c>
      <c r="C595" s="18">
        <v>240</v>
      </c>
      <c r="D595" s="19">
        <v>700000</v>
      </c>
      <c r="E595" s="26">
        <v>380000</v>
      </c>
      <c r="F595" s="20">
        <f t="shared" si="9"/>
        <v>1080000</v>
      </c>
    </row>
    <row r="596" spans="1:6" s="29" customFormat="1" ht="31.5">
      <c r="A596" s="17" t="s">
        <v>400</v>
      </c>
      <c r="B596" s="18" t="s">
        <v>401</v>
      </c>
      <c r="C596" s="18"/>
      <c r="D596" s="19">
        <f>D597</f>
        <v>250000</v>
      </c>
      <c r="E596" s="20">
        <f>E597</f>
        <v>0</v>
      </c>
      <c r="F596" s="20">
        <f t="shared" si="9"/>
        <v>250000</v>
      </c>
    </row>
    <row r="597" spans="1:6" s="29" customFormat="1" ht="31.5">
      <c r="A597" s="28" t="s">
        <v>14</v>
      </c>
      <c r="B597" s="18" t="s">
        <v>401</v>
      </c>
      <c r="C597" s="18">
        <v>600</v>
      </c>
      <c r="D597" s="19">
        <f>D598</f>
        <v>250000</v>
      </c>
      <c r="E597" s="20">
        <f>E598</f>
        <v>0</v>
      </c>
      <c r="F597" s="20">
        <f t="shared" si="9"/>
        <v>250000</v>
      </c>
    </row>
    <row r="598" spans="1:6" s="29" customFormat="1" ht="47.25">
      <c r="A598" s="24" t="s">
        <v>16</v>
      </c>
      <c r="B598" s="18" t="s">
        <v>401</v>
      </c>
      <c r="C598" s="18">
        <v>630</v>
      </c>
      <c r="D598" s="19">
        <v>250000</v>
      </c>
      <c r="E598" s="26">
        <v>0</v>
      </c>
      <c r="F598" s="20">
        <f t="shared" si="9"/>
        <v>250000</v>
      </c>
    </row>
    <row r="599" spans="1:6" s="12" customFormat="1" ht="31.5">
      <c r="A599" s="17" t="s">
        <v>402</v>
      </c>
      <c r="B599" s="18" t="s">
        <v>403</v>
      </c>
      <c r="C599" s="18"/>
      <c r="D599" s="19">
        <f>D600</f>
        <v>150000</v>
      </c>
      <c r="E599" s="20">
        <f>E600</f>
        <v>0</v>
      </c>
      <c r="F599" s="20">
        <f t="shared" si="9"/>
        <v>150000</v>
      </c>
    </row>
    <row r="600" spans="1:6" s="12" customFormat="1" ht="31.5">
      <c r="A600" s="24" t="s">
        <v>14</v>
      </c>
      <c r="B600" s="18" t="s">
        <v>403</v>
      </c>
      <c r="C600" s="18">
        <v>600</v>
      </c>
      <c r="D600" s="19">
        <f>D601</f>
        <v>150000</v>
      </c>
      <c r="E600" s="20">
        <f>E601</f>
        <v>0</v>
      </c>
      <c r="F600" s="20">
        <f t="shared" si="9"/>
        <v>150000</v>
      </c>
    </row>
    <row r="601" spans="1:6" s="12" customFormat="1" ht="15.75">
      <c r="A601" s="24" t="s">
        <v>15</v>
      </c>
      <c r="B601" s="18" t="s">
        <v>403</v>
      </c>
      <c r="C601" s="18">
        <v>610</v>
      </c>
      <c r="D601" s="19">
        <v>150000</v>
      </c>
      <c r="E601" s="26">
        <v>0</v>
      </c>
      <c r="F601" s="20">
        <f t="shared" si="9"/>
        <v>150000</v>
      </c>
    </row>
    <row r="602" spans="1:6" s="12" customFormat="1" ht="47.25">
      <c r="A602" s="17" t="s">
        <v>404</v>
      </c>
      <c r="B602" s="18" t="s">
        <v>405</v>
      </c>
      <c r="C602" s="18"/>
      <c r="D602" s="19">
        <f>D603</f>
        <v>450000</v>
      </c>
      <c r="E602" s="20">
        <f>E603</f>
        <v>0</v>
      </c>
      <c r="F602" s="20">
        <f t="shared" si="9"/>
        <v>450000</v>
      </c>
    </row>
    <row r="603" spans="1:6" s="12" customFormat="1" ht="31.5">
      <c r="A603" s="28" t="s">
        <v>14</v>
      </c>
      <c r="B603" s="18" t="s">
        <v>405</v>
      </c>
      <c r="C603" s="18">
        <v>600</v>
      </c>
      <c r="D603" s="19">
        <f>D604</f>
        <v>450000</v>
      </c>
      <c r="E603" s="20">
        <f>E604</f>
        <v>0</v>
      </c>
      <c r="F603" s="20">
        <f t="shared" si="9"/>
        <v>450000</v>
      </c>
    </row>
    <row r="604" spans="1:6" s="29" customFormat="1" ht="47.25">
      <c r="A604" s="24" t="s">
        <v>16</v>
      </c>
      <c r="B604" s="18" t="s">
        <v>405</v>
      </c>
      <c r="C604" s="18">
        <v>630</v>
      </c>
      <c r="D604" s="19">
        <v>450000</v>
      </c>
      <c r="E604" s="26">
        <v>0</v>
      </c>
      <c r="F604" s="20">
        <f t="shared" si="9"/>
        <v>450000</v>
      </c>
    </row>
    <row r="605" spans="1:6" s="12" customFormat="1" ht="47.25">
      <c r="A605" s="13" t="s">
        <v>406</v>
      </c>
      <c r="B605" s="14" t="s">
        <v>407</v>
      </c>
      <c r="C605" s="14"/>
      <c r="D605" s="15">
        <f>SUM(D606,D619)</f>
        <v>18912210</v>
      </c>
      <c r="E605" s="16">
        <f>SUM(E606,E619)</f>
        <v>-179518.8</v>
      </c>
      <c r="F605" s="16">
        <f t="shared" si="9"/>
        <v>18732691.2</v>
      </c>
    </row>
    <row r="606" spans="1:6" s="12" customFormat="1" ht="31.5">
      <c r="A606" s="24" t="s">
        <v>408</v>
      </c>
      <c r="B606" s="18" t="s">
        <v>409</v>
      </c>
      <c r="C606" s="18"/>
      <c r="D606" s="19">
        <f>SUM(D607,D610,D613,D616)</f>
        <v>3212210</v>
      </c>
      <c r="E606" s="19">
        <f>SUM(E607,E610,E613,E616)</f>
        <v>-269902.8</v>
      </c>
      <c r="F606" s="20">
        <f t="shared" si="9"/>
        <v>2942307.2</v>
      </c>
    </row>
    <row r="607" spans="1:6" s="12" customFormat="1" ht="78.75">
      <c r="A607" s="24" t="s">
        <v>410</v>
      </c>
      <c r="B607" s="18" t="s">
        <v>411</v>
      </c>
      <c r="C607" s="18"/>
      <c r="D607" s="19">
        <f>D608</f>
        <v>100000</v>
      </c>
      <c r="E607" s="20">
        <f>E608</f>
        <v>-100000</v>
      </c>
      <c r="F607" s="20">
        <f t="shared" si="9"/>
        <v>0</v>
      </c>
    </row>
    <row r="608" spans="1:6" s="12" customFormat="1" ht="15.75">
      <c r="A608" s="24" t="s">
        <v>17</v>
      </c>
      <c r="B608" s="18" t="s">
        <v>411</v>
      </c>
      <c r="C608" s="18">
        <v>800</v>
      </c>
      <c r="D608" s="19">
        <f>D609</f>
        <v>100000</v>
      </c>
      <c r="E608" s="20">
        <f>E609</f>
        <v>-100000</v>
      </c>
      <c r="F608" s="20">
        <f t="shared" si="9"/>
        <v>0</v>
      </c>
    </row>
    <row r="609" spans="1:6" s="12" customFormat="1" ht="63">
      <c r="A609" s="24" t="s">
        <v>18</v>
      </c>
      <c r="B609" s="18" t="s">
        <v>411</v>
      </c>
      <c r="C609" s="18">
        <v>810</v>
      </c>
      <c r="D609" s="25">
        <v>100000</v>
      </c>
      <c r="E609" s="26">
        <v>-100000</v>
      </c>
      <c r="F609" s="20">
        <f t="shared" si="9"/>
        <v>0</v>
      </c>
    </row>
    <row r="610" spans="1:6" s="29" customFormat="1" ht="31.5">
      <c r="A610" s="24" t="s">
        <v>412</v>
      </c>
      <c r="B610" s="18" t="s">
        <v>413</v>
      </c>
      <c r="C610" s="18"/>
      <c r="D610" s="25">
        <f>D611</f>
        <v>912210</v>
      </c>
      <c r="E610" s="22">
        <f>E611</f>
        <v>-241055.99999999994</v>
      </c>
      <c r="F610" s="20">
        <f t="shared" si="9"/>
        <v>671154</v>
      </c>
    </row>
    <row r="611" spans="1:6" s="29" customFormat="1" ht="15.75">
      <c r="A611" s="24" t="s">
        <v>17</v>
      </c>
      <c r="B611" s="18" t="s">
        <v>413</v>
      </c>
      <c r="C611" s="18">
        <v>800</v>
      </c>
      <c r="D611" s="25">
        <f>D612</f>
        <v>912210</v>
      </c>
      <c r="E611" s="22">
        <f>E612</f>
        <v>-241055.99999999994</v>
      </c>
      <c r="F611" s="20">
        <f t="shared" si="9"/>
        <v>671154</v>
      </c>
    </row>
    <row r="612" spans="1:6" s="29" customFormat="1" ht="63">
      <c r="A612" s="24" t="s">
        <v>18</v>
      </c>
      <c r="B612" s="18" t="s">
        <v>413</v>
      </c>
      <c r="C612" s="18">
        <v>810</v>
      </c>
      <c r="D612" s="25">
        <v>912210</v>
      </c>
      <c r="E612" s="26">
        <f>230097.2-671153.2+200000</f>
        <v>-241055.99999999994</v>
      </c>
      <c r="F612" s="20">
        <f t="shared" si="9"/>
        <v>671154</v>
      </c>
    </row>
    <row r="613" spans="1:6" s="29" customFormat="1" ht="78.75">
      <c r="A613" s="24" t="s">
        <v>414</v>
      </c>
      <c r="B613" s="18" t="s">
        <v>415</v>
      </c>
      <c r="C613" s="18"/>
      <c r="D613" s="25">
        <f>D614</f>
        <v>2100000</v>
      </c>
      <c r="E613" s="22">
        <f>E614</f>
        <v>171153.19999999995</v>
      </c>
      <c r="F613" s="20">
        <f t="shared" si="9"/>
        <v>2271153.2</v>
      </c>
    </row>
    <row r="614" spans="1:6" s="29" customFormat="1" ht="15.75">
      <c r="A614" s="24" t="s">
        <v>17</v>
      </c>
      <c r="B614" s="18" t="s">
        <v>415</v>
      </c>
      <c r="C614" s="18">
        <v>800</v>
      </c>
      <c r="D614" s="25">
        <f>D615</f>
        <v>2100000</v>
      </c>
      <c r="E614" s="22">
        <f>E615</f>
        <v>171153.19999999995</v>
      </c>
      <c r="F614" s="20">
        <f t="shared" si="9"/>
        <v>2271153.2</v>
      </c>
    </row>
    <row r="615" spans="1:6" s="29" customFormat="1" ht="63">
      <c r="A615" s="24" t="s">
        <v>18</v>
      </c>
      <c r="B615" s="18" t="s">
        <v>415</v>
      </c>
      <c r="C615" s="18">
        <v>810</v>
      </c>
      <c r="D615" s="25">
        <v>2100000</v>
      </c>
      <c r="E615" s="26">
        <f>-800000+671153.2+300000</f>
        <v>171153.19999999995</v>
      </c>
      <c r="F615" s="20">
        <f t="shared" si="9"/>
        <v>2271153.2</v>
      </c>
    </row>
    <row r="616" spans="1:6" s="29" customFormat="1" ht="47.25">
      <c r="A616" s="24" t="s">
        <v>416</v>
      </c>
      <c r="B616" s="18" t="s">
        <v>417</v>
      </c>
      <c r="C616" s="18"/>
      <c r="D616" s="25">
        <f>D617</f>
        <v>100000</v>
      </c>
      <c r="E616" s="22">
        <f>E617</f>
        <v>-100000</v>
      </c>
      <c r="F616" s="20">
        <f t="shared" si="9"/>
        <v>0</v>
      </c>
    </row>
    <row r="617" spans="1:6" s="29" customFormat="1" ht="31.5">
      <c r="A617" s="28" t="s">
        <v>27</v>
      </c>
      <c r="B617" s="18" t="s">
        <v>417</v>
      </c>
      <c r="C617" s="18">
        <v>200</v>
      </c>
      <c r="D617" s="25">
        <f>D618</f>
        <v>100000</v>
      </c>
      <c r="E617" s="22">
        <f>E618</f>
        <v>-100000</v>
      </c>
      <c r="F617" s="20">
        <f t="shared" si="9"/>
        <v>0</v>
      </c>
    </row>
    <row r="618" spans="1:6" s="29" customFormat="1" ht="31.5">
      <c r="A618" s="28" t="s">
        <v>28</v>
      </c>
      <c r="B618" s="18" t="s">
        <v>417</v>
      </c>
      <c r="C618" s="18">
        <v>240</v>
      </c>
      <c r="D618" s="25">
        <v>100000</v>
      </c>
      <c r="E618" s="26">
        <v>-100000</v>
      </c>
      <c r="F618" s="20">
        <f t="shared" si="9"/>
        <v>0</v>
      </c>
    </row>
    <row r="619" spans="1:6" s="29" customFormat="1" ht="31.5">
      <c r="A619" s="24" t="s">
        <v>418</v>
      </c>
      <c r="B619" s="18" t="s">
        <v>419</v>
      </c>
      <c r="C619" s="18"/>
      <c r="D619" s="25">
        <f>SUM(D620,D623,D626,D632,D629)</f>
        <v>15700000</v>
      </c>
      <c r="E619" s="25">
        <f>SUM(E620,E623,E626,E632,E629)</f>
        <v>90384</v>
      </c>
      <c r="F619" s="20">
        <f t="shared" si="9"/>
        <v>15790384</v>
      </c>
    </row>
    <row r="620" spans="1:6" s="29" customFormat="1" ht="47.25">
      <c r="A620" s="24" t="s">
        <v>420</v>
      </c>
      <c r="B620" s="18" t="s">
        <v>421</v>
      </c>
      <c r="C620" s="18"/>
      <c r="D620" s="25">
        <f>D621</f>
        <v>400000</v>
      </c>
      <c r="E620" s="22">
        <f>E621</f>
        <v>-400000</v>
      </c>
      <c r="F620" s="20">
        <f t="shared" si="9"/>
        <v>0</v>
      </c>
    </row>
    <row r="621" spans="1:6" s="29" customFormat="1" ht="15.75">
      <c r="A621" s="24" t="s">
        <v>17</v>
      </c>
      <c r="B621" s="18" t="s">
        <v>421</v>
      </c>
      <c r="C621" s="18">
        <v>800</v>
      </c>
      <c r="D621" s="25">
        <f>D622</f>
        <v>400000</v>
      </c>
      <c r="E621" s="22">
        <f>E622</f>
        <v>-400000</v>
      </c>
      <c r="F621" s="20">
        <f t="shared" si="9"/>
        <v>0</v>
      </c>
    </row>
    <row r="622" spans="1:6" s="29" customFormat="1" ht="63">
      <c r="A622" s="24" t="s">
        <v>18</v>
      </c>
      <c r="B622" s="18" t="s">
        <v>421</v>
      </c>
      <c r="C622" s="18">
        <v>810</v>
      </c>
      <c r="D622" s="25">
        <v>400000</v>
      </c>
      <c r="E622" s="26">
        <v>-400000</v>
      </c>
      <c r="F622" s="20">
        <f t="shared" si="9"/>
        <v>0</v>
      </c>
    </row>
    <row r="623" spans="1:6" s="29" customFormat="1" ht="47.25">
      <c r="A623" s="24" t="s">
        <v>422</v>
      </c>
      <c r="B623" s="18" t="s">
        <v>423</v>
      </c>
      <c r="C623" s="18"/>
      <c r="D623" s="25">
        <f>D624</f>
        <v>1500000</v>
      </c>
      <c r="E623" s="22">
        <f>E624</f>
        <v>0</v>
      </c>
      <c r="F623" s="20">
        <f t="shared" si="9"/>
        <v>1500000</v>
      </c>
    </row>
    <row r="624" spans="1:6" s="12" customFormat="1" ht="15.75">
      <c r="A624" s="24" t="s">
        <v>17</v>
      </c>
      <c r="B624" s="18" t="s">
        <v>423</v>
      </c>
      <c r="C624" s="18">
        <v>800</v>
      </c>
      <c r="D624" s="25">
        <f>D625</f>
        <v>1500000</v>
      </c>
      <c r="E624" s="22">
        <f>E625</f>
        <v>0</v>
      </c>
      <c r="F624" s="20">
        <f t="shared" si="9"/>
        <v>1500000</v>
      </c>
    </row>
    <row r="625" spans="1:6" s="29" customFormat="1" ht="63">
      <c r="A625" s="24" t="s">
        <v>18</v>
      </c>
      <c r="B625" s="18" t="s">
        <v>423</v>
      </c>
      <c r="C625" s="18">
        <v>810</v>
      </c>
      <c r="D625" s="25">
        <v>1500000</v>
      </c>
      <c r="E625" s="26">
        <v>0</v>
      </c>
      <c r="F625" s="20">
        <f t="shared" si="9"/>
        <v>1500000</v>
      </c>
    </row>
    <row r="626" spans="1:6" s="36" customFormat="1" ht="31.5">
      <c r="A626" s="24" t="s">
        <v>424</v>
      </c>
      <c r="B626" s="18" t="s">
        <v>425</v>
      </c>
      <c r="C626" s="18"/>
      <c r="D626" s="25">
        <f>D627</f>
        <v>10800000</v>
      </c>
      <c r="E626" s="25">
        <f>E627</f>
        <v>100000</v>
      </c>
      <c r="F626" s="20">
        <f t="shared" si="9"/>
        <v>10900000</v>
      </c>
    </row>
    <row r="627" spans="1:6" s="12" customFormat="1" ht="15.75">
      <c r="A627" s="24" t="s">
        <v>17</v>
      </c>
      <c r="B627" s="18" t="s">
        <v>425</v>
      </c>
      <c r="C627" s="18">
        <v>800</v>
      </c>
      <c r="D627" s="25">
        <f>D628</f>
        <v>10800000</v>
      </c>
      <c r="E627" s="22">
        <f>E628</f>
        <v>100000</v>
      </c>
      <c r="F627" s="20">
        <f t="shared" si="9"/>
        <v>10900000</v>
      </c>
    </row>
    <row r="628" spans="1:6" s="12" customFormat="1" ht="63">
      <c r="A628" s="24" t="s">
        <v>18</v>
      </c>
      <c r="B628" s="18" t="s">
        <v>425</v>
      </c>
      <c r="C628" s="18">
        <v>810</v>
      </c>
      <c r="D628" s="25">
        <v>10800000</v>
      </c>
      <c r="E628" s="26">
        <v>100000</v>
      </c>
      <c r="F628" s="20">
        <f t="shared" si="9"/>
        <v>10900000</v>
      </c>
    </row>
    <row r="629" spans="1:6" s="12" customFormat="1" ht="189">
      <c r="A629" s="27" t="s">
        <v>426</v>
      </c>
      <c r="B629" s="18" t="s">
        <v>427</v>
      </c>
      <c r="C629" s="18"/>
      <c r="D629" s="25">
        <f>D630</f>
        <v>0</v>
      </c>
      <c r="E629" s="26">
        <f>E630</f>
        <v>390384</v>
      </c>
      <c r="F629" s="20">
        <f t="shared" si="9"/>
        <v>390384</v>
      </c>
    </row>
    <row r="630" spans="1:6" s="12" customFormat="1" ht="31.5">
      <c r="A630" s="28" t="s">
        <v>14</v>
      </c>
      <c r="B630" s="18" t="s">
        <v>427</v>
      </c>
      <c r="C630" s="18">
        <v>600</v>
      </c>
      <c r="D630" s="25">
        <f>D631</f>
        <v>0</v>
      </c>
      <c r="E630" s="26">
        <f>E631</f>
        <v>390384</v>
      </c>
      <c r="F630" s="20">
        <f t="shared" si="9"/>
        <v>390384</v>
      </c>
    </row>
    <row r="631" spans="1:6" s="12" customFormat="1" ht="47.25">
      <c r="A631" s="24" t="s">
        <v>16</v>
      </c>
      <c r="B631" s="18" t="s">
        <v>427</v>
      </c>
      <c r="C631" s="18">
        <v>630</v>
      </c>
      <c r="D631" s="25">
        <v>0</v>
      </c>
      <c r="E631" s="26">
        <v>390384</v>
      </c>
      <c r="F631" s="20">
        <f t="shared" si="9"/>
        <v>390384</v>
      </c>
    </row>
    <row r="632" spans="1:6" s="29" customFormat="1" ht="141.75">
      <c r="A632" s="49" t="s">
        <v>428</v>
      </c>
      <c r="B632" s="18" t="s">
        <v>429</v>
      </c>
      <c r="C632" s="18"/>
      <c r="D632" s="19">
        <f>D633</f>
        <v>3000000</v>
      </c>
      <c r="E632" s="20">
        <f>E633</f>
        <v>0</v>
      </c>
      <c r="F632" s="20">
        <f t="shared" si="9"/>
        <v>3000000</v>
      </c>
    </row>
    <row r="633" spans="1:6" s="29" customFormat="1" ht="31.5">
      <c r="A633" s="28" t="s">
        <v>14</v>
      </c>
      <c r="B633" s="18" t="s">
        <v>429</v>
      </c>
      <c r="C633" s="18">
        <v>600</v>
      </c>
      <c r="D633" s="19">
        <f>D634</f>
        <v>3000000</v>
      </c>
      <c r="E633" s="20">
        <f>E634</f>
        <v>0</v>
      </c>
      <c r="F633" s="20">
        <f t="shared" si="9"/>
        <v>3000000</v>
      </c>
    </row>
    <row r="634" spans="1:6" s="29" customFormat="1" ht="47.25">
      <c r="A634" s="24" t="s">
        <v>16</v>
      </c>
      <c r="B634" s="18" t="s">
        <v>429</v>
      </c>
      <c r="C634" s="18">
        <v>630</v>
      </c>
      <c r="D634" s="19">
        <v>3000000</v>
      </c>
      <c r="E634" s="26">
        <v>0</v>
      </c>
      <c r="F634" s="20">
        <f t="shared" si="9"/>
        <v>3000000</v>
      </c>
    </row>
    <row r="635" spans="1:6" s="12" customFormat="1" ht="47.25">
      <c r="A635" s="13" t="s">
        <v>430</v>
      </c>
      <c r="B635" s="14" t="s">
        <v>431</v>
      </c>
      <c r="C635" s="14"/>
      <c r="D635" s="15">
        <f>SUM(D636,D646)</f>
        <v>36991851</v>
      </c>
      <c r="E635" s="16">
        <f>SUM(E636,E646)</f>
        <v>9949134.67</v>
      </c>
      <c r="F635" s="16">
        <f t="shared" si="9"/>
        <v>46940985.67</v>
      </c>
    </row>
    <row r="636" spans="1:6" s="12" customFormat="1" ht="31.5">
      <c r="A636" s="24" t="s">
        <v>432</v>
      </c>
      <c r="B636" s="18" t="s">
        <v>433</v>
      </c>
      <c r="C636" s="18"/>
      <c r="D636" s="19">
        <f>SUM(D637,D640,D643)</f>
        <v>1700000</v>
      </c>
      <c r="E636" s="20">
        <f>SUM(E637,E640,E643)</f>
        <v>-476000</v>
      </c>
      <c r="F636" s="20">
        <f t="shared" si="9"/>
        <v>1224000</v>
      </c>
    </row>
    <row r="637" spans="1:6" s="12" customFormat="1" ht="47.25">
      <c r="A637" s="24" t="s">
        <v>434</v>
      </c>
      <c r="B637" s="18" t="s">
        <v>435</v>
      </c>
      <c r="C637" s="18"/>
      <c r="D637" s="19">
        <f>D638</f>
        <v>400000</v>
      </c>
      <c r="E637" s="20">
        <f>E638</f>
        <v>0</v>
      </c>
      <c r="F637" s="20">
        <f t="shared" si="9"/>
        <v>400000</v>
      </c>
    </row>
    <row r="638" spans="1:6" s="12" customFormat="1" ht="31.5">
      <c r="A638" s="28" t="s">
        <v>27</v>
      </c>
      <c r="B638" s="18" t="s">
        <v>435</v>
      </c>
      <c r="C638" s="18">
        <v>200</v>
      </c>
      <c r="D638" s="19">
        <f>D639</f>
        <v>400000</v>
      </c>
      <c r="E638" s="20">
        <f>E639</f>
        <v>0</v>
      </c>
      <c r="F638" s="20">
        <f t="shared" si="9"/>
        <v>400000</v>
      </c>
    </row>
    <row r="639" spans="1:6" s="12" customFormat="1" ht="31.5">
      <c r="A639" s="28" t="s">
        <v>28</v>
      </c>
      <c r="B639" s="18" t="s">
        <v>435</v>
      </c>
      <c r="C639" s="18">
        <v>240</v>
      </c>
      <c r="D639" s="25">
        <v>400000</v>
      </c>
      <c r="E639" s="26">
        <v>0</v>
      </c>
      <c r="F639" s="20">
        <f t="shared" si="9"/>
        <v>400000</v>
      </c>
    </row>
    <row r="640" spans="1:6" s="29" customFormat="1" ht="47.25">
      <c r="A640" s="24" t="s">
        <v>436</v>
      </c>
      <c r="B640" s="18" t="s">
        <v>437</v>
      </c>
      <c r="C640" s="18"/>
      <c r="D640" s="25">
        <f>D641</f>
        <v>300000</v>
      </c>
      <c r="E640" s="22">
        <f>E641</f>
        <v>0</v>
      </c>
      <c r="F640" s="20">
        <f t="shared" si="9"/>
        <v>300000</v>
      </c>
    </row>
    <row r="641" spans="1:6" s="12" customFormat="1" ht="31.5">
      <c r="A641" s="28" t="s">
        <v>27</v>
      </c>
      <c r="B641" s="18" t="s">
        <v>437</v>
      </c>
      <c r="C641" s="18">
        <v>200</v>
      </c>
      <c r="D641" s="25">
        <f>D642</f>
        <v>300000</v>
      </c>
      <c r="E641" s="22">
        <f>E642</f>
        <v>0</v>
      </c>
      <c r="F641" s="20">
        <f t="shared" si="9"/>
        <v>300000</v>
      </c>
    </row>
    <row r="642" spans="1:6" s="12" customFormat="1" ht="31.5">
      <c r="A642" s="28" t="s">
        <v>28</v>
      </c>
      <c r="B642" s="18" t="s">
        <v>437</v>
      </c>
      <c r="C642" s="18">
        <v>240</v>
      </c>
      <c r="D642" s="25">
        <v>300000</v>
      </c>
      <c r="E642" s="26">
        <v>0</v>
      </c>
      <c r="F642" s="20">
        <f t="shared" si="9"/>
        <v>300000</v>
      </c>
    </row>
    <row r="643" spans="1:6" s="12" customFormat="1" ht="31.5">
      <c r="A643" s="24" t="s">
        <v>438</v>
      </c>
      <c r="B643" s="18" t="s">
        <v>439</v>
      </c>
      <c r="C643" s="18"/>
      <c r="D643" s="25">
        <f>D644</f>
        <v>1000000</v>
      </c>
      <c r="E643" s="22">
        <f>E644</f>
        <v>-476000</v>
      </c>
      <c r="F643" s="20">
        <f t="shared" si="9"/>
        <v>524000</v>
      </c>
    </row>
    <row r="644" spans="1:6" s="29" customFormat="1" ht="31.5">
      <c r="A644" s="28" t="s">
        <v>27</v>
      </c>
      <c r="B644" s="18" t="s">
        <v>439</v>
      </c>
      <c r="C644" s="18">
        <v>200</v>
      </c>
      <c r="D644" s="25">
        <f>D645</f>
        <v>1000000</v>
      </c>
      <c r="E644" s="22">
        <f>E645</f>
        <v>-476000</v>
      </c>
      <c r="F644" s="20">
        <f t="shared" si="9"/>
        <v>524000</v>
      </c>
    </row>
    <row r="645" spans="1:6" s="29" customFormat="1" ht="31.5">
      <c r="A645" s="28" t="s">
        <v>28</v>
      </c>
      <c r="B645" s="18" t="s">
        <v>439</v>
      </c>
      <c r="C645" s="18">
        <v>240</v>
      </c>
      <c r="D645" s="25">
        <v>1000000</v>
      </c>
      <c r="E645" s="26">
        <v>-476000</v>
      </c>
      <c r="F645" s="20">
        <f t="shared" si="9"/>
        <v>524000</v>
      </c>
    </row>
    <row r="646" spans="1:6" s="12" customFormat="1" ht="47.25">
      <c r="A646" s="24" t="s">
        <v>440</v>
      </c>
      <c r="B646" s="18" t="s">
        <v>441</v>
      </c>
      <c r="C646" s="18"/>
      <c r="D646" s="25">
        <f>SUM(D647,D650,D657,D660)</f>
        <v>35291851</v>
      </c>
      <c r="E646" s="22">
        <f>SUM(E647,E650,E657,E660)</f>
        <v>10425134.67</v>
      </c>
      <c r="F646" s="20">
        <f t="shared" si="9"/>
        <v>45716985.67</v>
      </c>
    </row>
    <row r="647" spans="1:6" s="12" customFormat="1" ht="110.25">
      <c r="A647" s="28" t="s">
        <v>442</v>
      </c>
      <c r="B647" s="18" t="s">
        <v>443</v>
      </c>
      <c r="C647" s="18"/>
      <c r="D647" s="25">
        <f>D648</f>
        <v>88889</v>
      </c>
      <c r="E647" s="22">
        <f>E648</f>
        <v>0</v>
      </c>
      <c r="F647" s="20">
        <f t="shared" si="9"/>
        <v>88889</v>
      </c>
    </row>
    <row r="648" spans="1:6" s="12" customFormat="1" ht="31.5">
      <c r="A648" s="28" t="s">
        <v>27</v>
      </c>
      <c r="B648" s="18" t="s">
        <v>443</v>
      </c>
      <c r="C648" s="18">
        <v>200</v>
      </c>
      <c r="D648" s="25">
        <f>D649</f>
        <v>88889</v>
      </c>
      <c r="E648" s="22">
        <f>E649</f>
        <v>0</v>
      </c>
      <c r="F648" s="20">
        <f aca="true" t="shared" si="10" ref="F648:F711">SUM(D648:E648)</f>
        <v>88889</v>
      </c>
    </row>
    <row r="649" spans="1:6" s="12" customFormat="1" ht="31.5">
      <c r="A649" s="28" t="s">
        <v>28</v>
      </c>
      <c r="B649" s="18" t="s">
        <v>443</v>
      </c>
      <c r="C649" s="18">
        <v>240</v>
      </c>
      <c r="D649" s="25">
        <v>88889</v>
      </c>
      <c r="E649" s="26">
        <v>0</v>
      </c>
      <c r="F649" s="20">
        <f t="shared" si="10"/>
        <v>88889</v>
      </c>
    </row>
    <row r="650" spans="1:6" s="12" customFormat="1" ht="63">
      <c r="A650" s="24" t="s">
        <v>444</v>
      </c>
      <c r="B650" s="18" t="s">
        <v>445</v>
      </c>
      <c r="C650" s="18"/>
      <c r="D650" s="25">
        <f>SUM(D651,D653,D655)</f>
        <v>34854648</v>
      </c>
      <c r="E650" s="22">
        <f>SUM(E651,E653,E655)</f>
        <v>0</v>
      </c>
      <c r="F650" s="20">
        <f t="shared" si="10"/>
        <v>34854648</v>
      </c>
    </row>
    <row r="651" spans="1:6" s="12" customFormat="1" ht="78.75">
      <c r="A651" s="37" t="s">
        <v>105</v>
      </c>
      <c r="B651" s="18" t="s">
        <v>445</v>
      </c>
      <c r="C651" s="18">
        <v>100</v>
      </c>
      <c r="D651" s="25">
        <f>D652</f>
        <v>32000000</v>
      </c>
      <c r="E651" s="22">
        <f>E652</f>
        <v>0</v>
      </c>
      <c r="F651" s="20">
        <f t="shared" si="10"/>
        <v>32000000</v>
      </c>
    </row>
    <row r="652" spans="1:6" s="12" customFormat="1" ht="15.75">
      <c r="A652" s="37" t="s">
        <v>116</v>
      </c>
      <c r="B652" s="18" t="s">
        <v>445</v>
      </c>
      <c r="C652" s="18">
        <v>110</v>
      </c>
      <c r="D652" s="25">
        <v>32000000</v>
      </c>
      <c r="E652" s="20">
        <f>-2685273.01+2685273.01</f>
        <v>0</v>
      </c>
      <c r="F652" s="20">
        <f t="shared" si="10"/>
        <v>32000000</v>
      </c>
    </row>
    <row r="653" spans="1:6" s="12" customFormat="1" ht="31.5">
      <c r="A653" s="28" t="s">
        <v>27</v>
      </c>
      <c r="B653" s="18" t="s">
        <v>445</v>
      </c>
      <c r="C653" s="18">
        <v>200</v>
      </c>
      <c r="D653" s="25">
        <f>D654</f>
        <v>2684648</v>
      </c>
      <c r="E653" s="22">
        <f>E654</f>
        <v>0</v>
      </c>
      <c r="F653" s="20">
        <f t="shared" si="10"/>
        <v>2684648</v>
      </c>
    </row>
    <row r="654" spans="1:6" s="12" customFormat="1" ht="31.5">
      <c r="A654" s="28" t="s">
        <v>28</v>
      </c>
      <c r="B654" s="18" t="s">
        <v>445</v>
      </c>
      <c r="C654" s="18">
        <v>240</v>
      </c>
      <c r="D654" s="25">
        <v>2684648</v>
      </c>
      <c r="E654" s="26">
        <v>0</v>
      </c>
      <c r="F654" s="20">
        <f t="shared" si="10"/>
        <v>2684648</v>
      </c>
    </row>
    <row r="655" spans="1:6" s="12" customFormat="1" ht="15.75">
      <c r="A655" s="28" t="s">
        <v>17</v>
      </c>
      <c r="B655" s="18" t="s">
        <v>445</v>
      </c>
      <c r="C655" s="18">
        <v>800</v>
      </c>
      <c r="D655" s="25">
        <f>D656</f>
        <v>170000</v>
      </c>
      <c r="E655" s="22">
        <f>E656</f>
        <v>0</v>
      </c>
      <c r="F655" s="20">
        <f t="shared" si="10"/>
        <v>170000</v>
      </c>
    </row>
    <row r="656" spans="1:6" s="12" customFormat="1" ht="15.75">
      <c r="A656" s="28" t="s">
        <v>112</v>
      </c>
      <c r="B656" s="18" t="s">
        <v>445</v>
      </c>
      <c r="C656" s="18">
        <v>850</v>
      </c>
      <c r="D656" s="25">
        <v>170000</v>
      </c>
      <c r="E656" s="26">
        <v>0</v>
      </c>
      <c r="F656" s="20">
        <f t="shared" si="10"/>
        <v>170000</v>
      </c>
    </row>
    <row r="657" spans="1:6" s="12" customFormat="1" ht="63">
      <c r="A657" s="28" t="s">
        <v>446</v>
      </c>
      <c r="B657" s="18" t="s">
        <v>447</v>
      </c>
      <c r="C657" s="18"/>
      <c r="D657" s="19">
        <f>D658</f>
        <v>348314</v>
      </c>
      <c r="E657" s="20">
        <f>E658</f>
        <v>500000</v>
      </c>
      <c r="F657" s="20">
        <f t="shared" si="10"/>
        <v>848314</v>
      </c>
    </row>
    <row r="658" spans="1:6" s="29" customFormat="1" ht="31.5">
      <c r="A658" s="28" t="s">
        <v>27</v>
      </c>
      <c r="B658" s="18" t="s">
        <v>447</v>
      </c>
      <c r="C658" s="18">
        <v>200</v>
      </c>
      <c r="D658" s="19">
        <f>D659</f>
        <v>348314</v>
      </c>
      <c r="E658" s="20">
        <f>E659</f>
        <v>500000</v>
      </c>
      <c r="F658" s="20">
        <f t="shared" si="10"/>
        <v>848314</v>
      </c>
    </row>
    <row r="659" spans="1:6" s="29" customFormat="1" ht="31.5">
      <c r="A659" s="28" t="s">
        <v>28</v>
      </c>
      <c r="B659" s="18" t="s">
        <v>447</v>
      </c>
      <c r="C659" s="18">
        <v>240</v>
      </c>
      <c r="D659" s="25">
        <v>348314</v>
      </c>
      <c r="E659" s="22">
        <v>500000</v>
      </c>
      <c r="F659" s="20">
        <f t="shared" si="10"/>
        <v>848314</v>
      </c>
    </row>
    <row r="660" spans="1:6" s="29" customFormat="1" ht="63">
      <c r="A660" s="28" t="s">
        <v>448</v>
      </c>
      <c r="B660" s="18" t="s">
        <v>449</v>
      </c>
      <c r="C660" s="18"/>
      <c r="D660" s="25">
        <f>D661</f>
        <v>0</v>
      </c>
      <c r="E660" s="22">
        <f>E661</f>
        <v>9925134.67</v>
      </c>
      <c r="F660" s="20">
        <f t="shared" si="10"/>
        <v>9925134.67</v>
      </c>
    </row>
    <row r="661" spans="1:6" s="29" customFormat="1" ht="31.5">
      <c r="A661" s="28" t="s">
        <v>27</v>
      </c>
      <c r="B661" s="18" t="s">
        <v>449</v>
      </c>
      <c r="C661" s="18">
        <v>200</v>
      </c>
      <c r="D661" s="25">
        <f>D662</f>
        <v>0</v>
      </c>
      <c r="E661" s="22">
        <f>E662</f>
        <v>9925134.67</v>
      </c>
      <c r="F661" s="20">
        <f t="shared" si="10"/>
        <v>9925134.67</v>
      </c>
    </row>
    <row r="662" spans="1:6" s="29" customFormat="1" ht="31.5">
      <c r="A662" s="28" t="s">
        <v>28</v>
      </c>
      <c r="B662" s="18" t="s">
        <v>449</v>
      </c>
      <c r="C662" s="18">
        <v>240</v>
      </c>
      <c r="D662" s="25">
        <v>0</v>
      </c>
      <c r="E662" s="26">
        <f>9925.67+9915209</f>
        <v>9925134.67</v>
      </c>
      <c r="F662" s="20">
        <f t="shared" si="10"/>
        <v>9925134.67</v>
      </c>
    </row>
    <row r="663" spans="1:6" s="29" customFormat="1" ht="47.25">
      <c r="A663" s="50" t="s">
        <v>450</v>
      </c>
      <c r="B663" s="14" t="s">
        <v>451</v>
      </c>
      <c r="C663" s="14"/>
      <c r="D663" s="51">
        <f>SUM(D670,D667,D664,D673)</f>
        <v>15000000</v>
      </c>
      <c r="E663" s="16">
        <f>SUM(E670,E667,E664,E673)</f>
        <v>114332280</v>
      </c>
      <c r="F663" s="16">
        <f t="shared" si="10"/>
        <v>129332280</v>
      </c>
    </row>
    <row r="664" spans="1:6" s="29" customFormat="1" ht="31.5">
      <c r="A664" s="28" t="s">
        <v>452</v>
      </c>
      <c r="B664" s="18" t="s">
        <v>453</v>
      </c>
      <c r="C664" s="52"/>
      <c r="D664" s="20">
        <f>D665</f>
        <v>0</v>
      </c>
      <c r="E664" s="20">
        <f>E665</f>
        <v>11639320</v>
      </c>
      <c r="F664" s="20">
        <f t="shared" si="10"/>
        <v>11639320</v>
      </c>
    </row>
    <row r="665" spans="1:6" s="29" customFormat="1" ht="31.5">
      <c r="A665" s="24" t="s">
        <v>33</v>
      </c>
      <c r="B665" s="18" t="s">
        <v>453</v>
      </c>
      <c r="C665" s="18">
        <v>400</v>
      </c>
      <c r="D665" s="20">
        <f>D666</f>
        <v>0</v>
      </c>
      <c r="E665" s="20">
        <f>E666</f>
        <v>11639320</v>
      </c>
      <c r="F665" s="20">
        <f t="shared" si="10"/>
        <v>11639320</v>
      </c>
    </row>
    <row r="666" spans="1:6" s="29" customFormat="1" ht="15.75">
      <c r="A666" s="24" t="s">
        <v>34</v>
      </c>
      <c r="B666" s="18" t="s">
        <v>453</v>
      </c>
      <c r="C666" s="18">
        <v>410</v>
      </c>
      <c r="D666" s="20">
        <v>0</v>
      </c>
      <c r="E666" s="22">
        <f>13414735.43-1775415.43</f>
        <v>11639320</v>
      </c>
      <c r="F666" s="20">
        <f t="shared" si="10"/>
        <v>11639320</v>
      </c>
    </row>
    <row r="667" spans="1:6" s="29" customFormat="1" ht="141.75">
      <c r="A667" s="49" t="s">
        <v>454</v>
      </c>
      <c r="B667" s="18" t="s">
        <v>455</v>
      </c>
      <c r="C667" s="14"/>
      <c r="D667" s="53">
        <f>D668</f>
        <v>0</v>
      </c>
      <c r="E667" s="20">
        <f>E668</f>
        <v>103083582.94</v>
      </c>
      <c r="F667" s="20">
        <f t="shared" si="10"/>
        <v>103083582.94</v>
      </c>
    </row>
    <row r="668" spans="1:6" s="29" customFormat="1" ht="31.5">
      <c r="A668" s="24" t="s">
        <v>33</v>
      </c>
      <c r="B668" s="18" t="s">
        <v>455</v>
      </c>
      <c r="C668" s="18">
        <v>400</v>
      </c>
      <c r="D668" s="19">
        <f>D669</f>
        <v>0</v>
      </c>
      <c r="E668" s="20">
        <f>E669</f>
        <v>103083582.94</v>
      </c>
      <c r="F668" s="20">
        <f t="shared" si="10"/>
        <v>103083582.94</v>
      </c>
    </row>
    <row r="669" spans="1:6" s="29" customFormat="1" ht="15.75">
      <c r="A669" s="24" t="s">
        <v>34</v>
      </c>
      <c r="B669" s="18" t="s">
        <v>455</v>
      </c>
      <c r="C669" s="18">
        <v>410</v>
      </c>
      <c r="D669" s="19">
        <v>0</v>
      </c>
      <c r="E669" s="20">
        <v>103083582.94</v>
      </c>
      <c r="F669" s="20">
        <f t="shared" si="10"/>
        <v>103083582.94</v>
      </c>
    </row>
    <row r="670" spans="1:6" s="29" customFormat="1" ht="126">
      <c r="A670" s="28" t="s">
        <v>456</v>
      </c>
      <c r="B670" s="18" t="s">
        <v>457</v>
      </c>
      <c r="C670" s="18"/>
      <c r="D670" s="19">
        <f>D671</f>
        <v>15000000</v>
      </c>
      <c r="E670" s="20">
        <f>E671</f>
        <v>-1567552.539999999</v>
      </c>
      <c r="F670" s="20">
        <f t="shared" si="10"/>
        <v>13432447.46</v>
      </c>
    </row>
    <row r="671" spans="1:6" s="29" customFormat="1" ht="31.5">
      <c r="A671" s="24" t="s">
        <v>33</v>
      </c>
      <c r="B671" s="18" t="s">
        <v>457</v>
      </c>
      <c r="C671" s="18">
        <v>400</v>
      </c>
      <c r="D671" s="19">
        <f>D672</f>
        <v>15000000</v>
      </c>
      <c r="E671" s="20">
        <f>E672</f>
        <v>-1567552.539999999</v>
      </c>
      <c r="F671" s="20">
        <f t="shared" si="10"/>
        <v>13432447.46</v>
      </c>
    </row>
    <row r="672" spans="1:6" s="12" customFormat="1" ht="15.75">
      <c r="A672" s="24" t="s">
        <v>34</v>
      </c>
      <c r="B672" s="18" t="s">
        <v>457</v>
      </c>
      <c r="C672" s="18">
        <v>410</v>
      </c>
      <c r="D672" s="54">
        <v>15000000</v>
      </c>
      <c r="E672" s="26">
        <f>53857609.67-15000000-40425162.21</f>
        <v>-1567552.539999999</v>
      </c>
      <c r="F672" s="20">
        <f t="shared" si="10"/>
        <v>13432447.46</v>
      </c>
    </row>
    <row r="673" spans="1:6" s="12" customFormat="1" ht="126">
      <c r="A673" s="27" t="s">
        <v>458</v>
      </c>
      <c r="B673" s="18" t="s">
        <v>459</v>
      </c>
      <c r="C673" s="48"/>
      <c r="D673" s="20">
        <f>D674</f>
        <v>0</v>
      </c>
      <c r="E673" s="20">
        <f>E674</f>
        <v>1176929.6</v>
      </c>
      <c r="F673" s="20">
        <f t="shared" si="10"/>
        <v>1176929.6</v>
      </c>
    </row>
    <row r="674" spans="1:6" s="12" customFormat="1" ht="31.5">
      <c r="A674" s="24" t="s">
        <v>33</v>
      </c>
      <c r="B674" s="18" t="s">
        <v>459</v>
      </c>
      <c r="C674" s="48">
        <v>400</v>
      </c>
      <c r="D674" s="20">
        <f>D675</f>
        <v>0</v>
      </c>
      <c r="E674" s="20">
        <f>E675</f>
        <v>1176929.6</v>
      </c>
      <c r="F674" s="20">
        <f t="shared" si="10"/>
        <v>1176929.6</v>
      </c>
    </row>
    <row r="675" spans="1:6" s="12" customFormat="1" ht="15.75">
      <c r="A675" s="24" t="s">
        <v>34</v>
      </c>
      <c r="B675" s="18" t="s">
        <v>459</v>
      </c>
      <c r="C675" s="48">
        <v>410</v>
      </c>
      <c r="D675" s="20">
        <v>0</v>
      </c>
      <c r="E675" s="26">
        <f>1585264.57-408334.97</f>
        <v>1176929.6</v>
      </c>
      <c r="F675" s="20">
        <f t="shared" si="10"/>
        <v>1176929.6</v>
      </c>
    </row>
    <row r="676" spans="1:6" s="29" customFormat="1" ht="31.5">
      <c r="A676" s="50" t="s">
        <v>460</v>
      </c>
      <c r="B676" s="14" t="s">
        <v>461</v>
      </c>
      <c r="C676" s="14"/>
      <c r="D676" s="15">
        <f>SUM(D677,D680,D683,D686)</f>
        <v>60541098.989999995</v>
      </c>
      <c r="E676" s="15">
        <f>SUM(E677,E680,E683,E686)</f>
        <v>689890.799999997</v>
      </c>
      <c r="F676" s="16">
        <f t="shared" si="10"/>
        <v>61230989.78999999</v>
      </c>
    </row>
    <row r="677" spans="1:6" s="12" customFormat="1" ht="63">
      <c r="A677" s="28" t="s">
        <v>462</v>
      </c>
      <c r="B677" s="18" t="s">
        <v>463</v>
      </c>
      <c r="C677" s="18"/>
      <c r="D677" s="19">
        <f>D678</f>
        <v>25915485.66</v>
      </c>
      <c r="E677" s="20">
        <f>E678</f>
        <v>-15930999.270000001</v>
      </c>
      <c r="F677" s="20">
        <f t="shared" si="10"/>
        <v>9984486.389999999</v>
      </c>
    </row>
    <row r="678" spans="1:6" s="12" customFormat="1" ht="31.5">
      <c r="A678" s="28" t="s">
        <v>27</v>
      </c>
      <c r="B678" s="18" t="s">
        <v>463</v>
      </c>
      <c r="C678" s="18">
        <v>200</v>
      </c>
      <c r="D678" s="19">
        <f>D679</f>
        <v>25915485.66</v>
      </c>
      <c r="E678" s="20">
        <f>E679</f>
        <v>-15930999.270000001</v>
      </c>
      <c r="F678" s="20">
        <f t="shared" si="10"/>
        <v>9984486.389999999</v>
      </c>
    </row>
    <row r="679" spans="1:6" s="12" customFormat="1" ht="31.5">
      <c r="A679" s="28" t="s">
        <v>28</v>
      </c>
      <c r="B679" s="18" t="s">
        <v>463</v>
      </c>
      <c r="C679" s="18">
        <v>240</v>
      </c>
      <c r="D679" s="19">
        <f>27000000-355850.02-728664.32</f>
        <v>25915485.66</v>
      </c>
      <c r="E679" s="20">
        <f>2685273.01+11199.23+600000+0.05-515723.7-6849055.46-89400-9850000-1423292.4-500000</f>
        <v>-15930999.270000001</v>
      </c>
      <c r="F679" s="20">
        <f t="shared" si="10"/>
        <v>9984486.389999999</v>
      </c>
    </row>
    <row r="680" spans="1:6" s="12" customFormat="1" ht="78.75">
      <c r="A680" s="24" t="s">
        <v>464</v>
      </c>
      <c r="B680" s="18" t="s">
        <v>465</v>
      </c>
      <c r="C680" s="18"/>
      <c r="D680" s="19">
        <f>D681</f>
        <v>11120313.11</v>
      </c>
      <c r="E680" s="20">
        <f>E681</f>
        <v>-11120313.110000001</v>
      </c>
      <c r="F680" s="20">
        <f t="shared" si="10"/>
        <v>0</v>
      </c>
    </row>
    <row r="681" spans="1:6" s="12" customFormat="1" ht="31.5">
      <c r="A681" s="28" t="s">
        <v>27</v>
      </c>
      <c r="B681" s="18" t="s">
        <v>465</v>
      </c>
      <c r="C681" s="18">
        <v>200</v>
      </c>
      <c r="D681" s="19">
        <f>D682</f>
        <v>11120313.11</v>
      </c>
      <c r="E681" s="20">
        <f>E682</f>
        <v>-11120313.110000001</v>
      </c>
      <c r="F681" s="20">
        <f t="shared" si="10"/>
        <v>0</v>
      </c>
    </row>
    <row r="682" spans="1:6" s="12" customFormat="1" ht="31.5">
      <c r="A682" s="28" t="s">
        <v>28</v>
      </c>
      <c r="B682" s="18" t="s">
        <v>465</v>
      </c>
      <c r="C682" s="18">
        <v>240</v>
      </c>
      <c r="D682" s="19">
        <v>11120313.11</v>
      </c>
      <c r="E682" s="26">
        <f>-220362.47-10899950.64</f>
        <v>-11120313.110000001</v>
      </c>
      <c r="F682" s="20">
        <f t="shared" si="10"/>
        <v>0</v>
      </c>
    </row>
    <row r="683" spans="1:6" s="12" customFormat="1" ht="110.25">
      <c r="A683" s="49" t="s">
        <v>466</v>
      </c>
      <c r="B683" s="18" t="s">
        <v>467</v>
      </c>
      <c r="C683" s="18"/>
      <c r="D683" s="19">
        <f>D684</f>
        <v>23505300.22</v>
      </c>
      <c r="E683" s="20">
        <f>E684</f>
        <v>11109113.83</v>
      </c>
      <c r="F683" s="20">
        <f t="shared" si="10"/>
        <v>34614414.05</v>
      </c>
    </row>
    <row r="684" spans="1:6" s="12" customFormat="1" ht="31.5">
      <c r="A684" s="28" t="s">
        <v>27</v>
      </c>
      <c r="B684" s="18" t="s">
        <v>467</v>
      </c>
      <c r="C684" s="18">
        <v>200</v>
      </c>
      <c r="D684" s="19">
        <f>D685</f>
        <v>23505300.22</v>
      </c>
      <c r="E684" s="20">
        <f>E685</f>
        <v>11109113.83</v>
      </c>
      <c r="F684" s="20">
        <f t="shared" si="10"/>
        <v>34614414.05</v>
      </c>
    </row>
    <row r="685" spans="1:6" s="12" customFormat="1" ht="31.5">
      <c r="A685" s="28" t="s">
        <v>28</v>
      </c>
      <c r="B685" s="18" t="s">
        <v>467</v>
      </c>
      <c r="C685" s="18">
        <v>240</v>
      </c>
      <c r="D685" s="19">
        <f>22776635.91+728664.31</f>
        <v>23505300.22</v>
      </c>
      <c r="E685" s="26">
        <f>220362.47+10888751.41-0.05</f>
        <v>11109113.83</v>
      </c>
      <c r="F685" s="20">
        <f t="shared" si="10"/>
        <v>34614414.05</v>
      </c>
    </row>
    <row r="686" spans="1:6" s="12" customFormat="1" ht="126">
      <c r="A686" s="28" t="s">
        <v>468</v>
      </c>
      <c r="B686" s="18" t="s">
        <v>469</v>
      </c>
      <c r="C686" s="18"/>
      <c r="D686" s="19">
        <f>D687</f>
        <v>0</v>
      </c>
      <c r="E686" s="26">
        <f>E687</f>
        <v>16632089.35</v>
      </c>
      <c r="F686" s="20">
        <f t="shared" si="10"/>
        <v>16632089.35</v>
      </c>
    </row>
    <row r="687" spans="1:6" s="12" customFormat="1" ht="31.5">
      <c r="A687" s="28" t="s">
        <v>27</v>
      </c>
      <c r="B687" s="18" t="s">
        <v>469</v>
      </c>
      <c r="C687" s="18">
        <v>200</v>
      </c>
      <c r="D687" s="19">
        <f>D688</f>
        <v>0</v>
      </c>
      <c r="E687" s="26">
        <f>E688</f>
        <v>16632089.35</v>
      </c>
      <c r="F687" s="20">
        <f t="shared" si="10"/>
        <v>16632089.35</v>
      </c>
    </row>
    <row r="688" spans="1:6" s="12" customFormat="1" ht="31.5">
      <c r="A688" s="28" t="s">
        <v>28</v>
      </c>
      <c r="B688" s="18" t="s">
        <v>469</v>
      </c>
      <c r="C688" s="18">
        <v>240</v>
      </c>
      <c r="D688" s="19">
        <v>0</v>
      </c>
      <c r="E688" s="26">
        <f>10888751.41-10888751.41+16632089.35</f>
        <v>16632089.35</v>
      </c>
      <c r="F688" s="20">
        <f t="shared" si="10"/>
        <v>16632089.35</v>
      </c>
    </row>
    <row r="689" spans="1:6" s="12" customFormat="1" ht="15.75">
      <c r="A689" s="55" t="s">
        <v>470</v>
      </c>
      <c r="B689" s="14" t="s">
        <v>471</v>
      </c>
      <c r="C689" s="14"/>
      <c r="D689" s="15">
        <f>SUM(D690,D753,D766,D821,D870,D874)</f>
        <v>536650783.62</v>
      </c>
      <c r="E689" s="16">
        <f>SUM(E690,E753,E766,E821,E870,E874)</f>
        <v>157157123.43</v>
      </c>
      <c r="F689" s="16">
        <f t="shared" si="10"/>
        <v>693807907.05</v>
      </c>
    </row>
    <row r="690" spans="1:6" s="12" customFormat="1" ht="31.5">
      <c r="A690" s="24" t="s">
        <v>472</v>
      </c>
      <c r="B690" s="18" t="s">
        <v>473</v>
      </c>
      <c r="C690" s="18"/>
      <c r="D690" s="19">
        <f>SUM(D697,D694,D700,D705,D712,D719,D728,D745,D735,D691,D750,D742)</f>
        <v>287691507</v>
      </c>
      <c r="E690" s="19">
        <f>SUM(E697,E694,E700,E705,E712,E719,E728,E745,E735,E691,E750,E742)</f>
        <v>11623959</v>
      </c>
      <c r="F690" s="20">
        <f t="shared" si="10"/>
        <v>299315466</v>
      </c>
    </row>
    <row r="691" spans="1:6" s="12" customFormat="1" ht="47.25">
      <c r="A691" s="24" t="s">
        <v>474</v>
      </c>
      <c r="B691" s="18" t="s">
        <v>475</v>
      </c>
      <c r="C691" s="18"/>
      <c r="D691" s="19">
        <f>D692</f>
        <v>0</v>
      </c>
      <c r="E691" s="20">
        <f>E692</f>
        <v>947766</v>
      </c>
      <c r="F691" s="20">
        <f t="shared" si="10"/>
        <v>947766</v>
      </c>
    </row>
    <row r="692" spans="1:6" s="12" customFormat="1" ht="78.75">
      <c r="A692" s="37" t="s">
        <v>105</v>
      </c>
      <c r="B692" s="18" t="s">
        <v>475</v>
      </c>
      <c r="C692" s="38" t="s">
        <v>106</v>
      </c>
      <c r="D692" s="19">
        <f>D693</f>
        <v>0</v>
      </c>
      <c r="E692" s="20">
        <f>E693</f>
        <v>947766</v>
      </c>
      <c r="F692" s="20">
        <f t="shared" si="10"/>
        <v>947766</v>
      </c>
    </row>
    <row r="693" spans="1:6" s="12" customFormat="1" ht="31.5">
      <c r="A693" s="37" t="s">
        <v>107</v>
      </c>
      <c r="B693" s="18" t="s">
        <v>475</v>
      </c>
      <c r="C693" s="38" t="s">
        <v>108</v>
      </c>
      <c r="D693" s="19">
        <v>0</v>
      </c>
      <c r="E693" s="20">
        <v>947766</v>
      </c>
      <c r="F693" s="20">
        <f t="shared" si="10"/>
        <v>947766</v>
      </c>
    </row>
    <row r="694" spans="1:6" s="12" customFormat="1" ht="31.5">
      <c r="A694" s="28" t="s">
        <v>476</v>
      </c>
      <c r="B694" s="18" t="s">
        <v>477</v>
      </c>
      <c r="C694" s="38"/>
      <c r="D694" s="19">
        <f>D695</f>
        <v>377695</v>
      </c>
      <c r="E694" s="20">
        <f>E695</f>
        <v>0</v>
      </c>
      <c r="F694" s="20">
        <f t="shared" si="10"/>
        <v>377695</v>
      </c>
    </row>
    <row r="695" spans="1:6" s="12" customFormat="1" ht="31.5">
      <c r="A695" s="28" t="s">
        <v>27</v>
      </c>
      <c r="B695" s="18" t="s">
        <v>477</v>
      </c>
      <c r="C695" s="38" t="s">
        <v>109</v>
      </c>
      <c r="D695" s="19">
        <f>D696</f>
        <v>377695</v>
      </c>
      <c r="E695" s="20">
        <f>E696</f>
        <v>0</v>
      </c>
      <c r="F695" s="20">
        <f t="shared" si="10"/>
        <v>377695</v>
      </c>
    </row>
    <row r="696" spans="1:6" s="12" customFormat="1" ht="31.5">
      <c r="A696" s="28" t="s">
        <v>28</v>
      </c>
      <c r="B696" s="18" t="s">
        <v>477</v>
      </c>
      <c r="C696" s="38" t="s">
        <v>110</v>
      </c>
      <c r="D696" s="19">
        <v>377695</v>
      </c>
      <c r="E696" s="26">
        <v>0</v>
      </c>
      <c r="F696" s="20">
        <f t="shared" si="10"/>
        <v>377695</v>
      </c>
    </row>
    <row r="697" spans="1:6" s="12" customFormat="1" ht="78.75">
      <c r="A697" s="37" t="s">
        <v>478</v>
      </c>
      <c r="B697" s="18" t="s">
        <v>479</v>
      </c>
      <c r="C697" s="18"/>
      <c r="D697" s="25">
        <f>D698</f>
        <v>1197954</v>
      </c>
      <c r="E697" s="22">
        <f>E698</f>
        <v>0</v>
      </c>
      <c r="F697" s="20">
        <f t="shared" si="10"/>
        <v>1197954</v>
      </c>
    </row>
    <row r="698" spans="1:6" s="12" customFormat="1" ht="78.75">
      <c r="A698" s="37" t="s">
        <v>105</v>
      </c>
      <c r="B698" s="18" t="s">
        <v>479</v>
      </c>
      <c r="C698" s="38" t="s">
        <v>106</v>
      </c>
      <c r="D698" s="25">
        <f>D699</f>
        <v>1197954</v>
      </c>
      <c r="E698" s="22">
        <f>E699</f>
        <v>0</v>
      </c>
      <c r="F698" s="20">
        <f t="shared" si="10"/>
        <v>1197954</v>
      </c>
    </row>
    <row r="699" spans="1:6" s="12" customFormat="1" ht="31.5">
      <c r="A699" s="37" t="s">
        <v>107</v>
      </c>
      <c r="B699" s="18" t="s">
        <v>479</v>
      </c>
      <c r="C699" s="38" t="s">
        <v>108</v>
      </c>
      <c r="D699" s="25">
        <v>1197954</v>
      </c>
      <c r="E699" s="26">
        <v>0</v>
      </c>
      <c r="F699" s="20">
        <f t="shared" si="10"/>
        <v>1197954</v>
      </c>
    </row>
    <row r="700" spans="1:6" s="12" customFormat="1" ht="47.25">
      <c r="A700" s="28" t="s">
        <v>480</v>
      </c>
      <c r="B700" s="18" t="s">
        <v>481</v>
      </c>
      <c r="C700" s="38"/>
      <c r="D700" s="19">
        <f>SUM(D701,D703)</f>
        <v>6135811</v>
      </c>
      <c r="E700" s="20">
        <f>SUM(E701,E703)</f>
        <v>322938</v>
      </c>
      <c r="F700" s="20">
        <f t="shared" si="10"/>
        <v>6458749</v>
      </c>
    </row>
    <row r="701" spans="1:6" s="29" customFormat="1" ht="78.75">
      <c r="A701" s="37" t="s">
        <v>105</v>
      </c>
      <c r="B701" s="18" t="s">
        <v>481</v>
      </c>
      <c r="C701" s="38" t="s">
        <v>106</v>
      </c>
      <c r="D701" s="19">
        <f>D702</f>
        <v>5694116</v>
      </c>
      <c r="E701" s="20">
        <f>E702</f>
        <v>0</v>
      </c>
      <c r="F701" s="20">
        <f t="shared" si="10"/>
        <v>5694116</v>
      </c>
    </row>
    <row r="702" spans="1:6" s="29" customFormat="1" ht="31.5">
      <c r="A702" s="37" t="s">
        <v>107</v>
      </c>
      <c r="B702" s="18" t="s">
        <v>481</v>
      </c>
      <c r="C702" s="38" t="s">
        <v>108</v>
      </c>
      <c r="D702" s="19">
        <v>5694116</v>
      </c>
      <c r="E702" s="26">
        <v>0</v>
      </c>
      <c r="F702" s="20">
        <f t="shared" si="10"/>
        <v>5694116</v>
      </c>
    </row>
    <row r="703" spans="1:6" s="29" customFormat="1" ht="31.5">
      <c r="A703" s="28" t="s">
        <v>27</v>
      </c>
      <c r="B703" s="18" t="s">
        <v>481</v>
      </c>
      <c r="C703" s="38" t="s">
        <v>109</v>
      </c>
      <c r="D703" s="25">
        <f>D704</f>
        <v>441695</v>
      </c>
      <c r="E703" s="22">
        <f>E704</f>
        <v>322938</v>
      </c>
      <c r="F703" s="20">
        <f t="shared" si="10"/>
        <v>764633</v>
      </c>
    </row>
    <row r="704" spans="1:6" s="29" customFormat="1" ht="31.5">
      <c r="A704" s="28" t="s">
        <v>28</v>
      </c>
      <c r="B704" s="18" t="s">
        <v>481</v>
      </c>
      <c r="C704" s="38" t="s">
        <v>110</v>
      </c>
      <c r="D704" s="25">
        <v>441695</v>
      </c>
      <c r="E704" s="26">
        <v>322938</v>
      </c>
      <c r="F704" s="20">
        <f t="shared" si="10"/>
        <v>764633</v>
      </c>
    </row>
    <row r="705" spans="1:6" s="29" customFormat="1" ht="31.5">
      <c r="A705" s="24" t="s">
        <v>482</v>
      </c>
      <c r="B705" s="18" t="s">
        <v>483</v>
      </c>
      <c r="C705" s="18"/>
      <c r="D705" s="19">
        <f>SUM(D706,D708,D710)</f>
        <v>28707215</v>
      </c>
      <c r="E705" s="20">
        <f>SUM(E706,E708,E710)</f>
        <v>1242108</v>
      </c>
      <c r="F705" s="20">
        <f t="shared" si="10"/>
        <v>29949323</v>
      </c>
    </row>
    <row r="706" spans="1:6" s="29" customFormat="1" ht="78.75">
      <c r="A706" s="37" t="s">
        <v>105</v>
      </c>
      <c r="B706" s="18" t="s">
        <v>483</v>
      </c>
      <c r="C706" s="38" t="s">
        <v>106</v>
      </c>
      <c r="D706" s="19">
        <f>D707</f>
        <v>24762215</v>
      </c>
      <c r="E706" s="20">
        <f>E707</f>
        <v>1242108</v>
      </c>
      <c r="F706" s="20">
        <f t="shared" si="10"/>
        <v>26004323</v>
      </c>
    </row>
    <row r="707" spans="1:6" s="29" customFormat="1" ht="31.5">
      <c r="A707" s="37" t="s">
        <v>107</v>
      </c>
      <c r="B707" s="18" t="s">
        <v>483</v>
      </c>
      <c r="C707" s="38" t="s">
        <v>108</v>
      </c>
      <c r="D707" s="25">
        <v>24762215</v>
      </c>
      <c r="E707" s="20">
        <v>1242108</v>
      </c>
      <c r="F707" s="20">
        <f t="shared" si="10"/>
        <v>26004323</v>
      </c>
    </row>
    <row r="708" spans="1:6" s="29" customFormat="1" ht="31.5">
      <c r="A708" s="28" t="s">
        <v>27</v>
      </c>
      <c r="B708" s="18" t="s">
        <v>483</v>
      </c>
      <c r="C708" s="38" t="s">
        <v>109</v>
      </c>
      <c r="D708" s="25">
        <f>D709</f>
        <v>3935000</v>
      </c>
      <c r="E708" s="22">
        <f>E709</f>
        <v>0</v>
      </c>
      <c r="F708" s="20">
        <f t="shared" si="10"/>
        <v>3935000</v>
      </c>
    </row>
    <row r="709" spans="1:6" s="12" customFormat="1" ht="31.5">
      <c r="A709" s="28" t="s">
        <v>28</v>
      </c>
      <c r="B709" s="18" t="s">
        <v>483</v>
      </c>
      <c r="C709" s="38" t="s">
        <v>110</v>
      </c>
      <c r="D709" s="25">
        <v>3935000</v>
      </c>
      <c r="E709" s="26">
        <v>0</v>
      </c>
      <c r="F709" s="20">
        <f t="shared" si="10"/>
        <v>3935000</v>
      </c>
    </row>
    <row r="710" spans="1:6" s="12" customFormat="1" ht="15.75">
      <c r="A710" s="28" t="s">
        <v>17</v>
      </c>
      <c r="B710" s="18" t="s">
        <v>483</v>
      </c>
      <c r="C710" s="38" t="s">
        <v>111</v>
      </c>
      <c r="D710" s="25">
        <f>D711</f>
        <v>10000</v>
      </c>
      <c r="E710" s="22">
        <f>E711</f>
        <v>0</v>
      </c>
      <c r="F710" s="20">
        <f t="shared" si="10"/>
        <v>10000</v>
      </c>
    </row>
    <row r="711" spans="1:6" s="12" customFormat="1" ht="15.75">
      <c r="A711" s="28" t="s">
        <v>112</v>
      </c>
      <c r="B711" s="18" t="s">
        <v>483</v>
      </c>
      <c r="C711" s="38" t="s">
        <v>113</v>
      </c>
      <c r="D711" s="25">
        <v>10000</v>
      </c>
      <c r="E711" s="26">
        <v>0</v>
      </c>
      <c r="F711" s="20">
        <f t="shared" si="10"/>
        <v>10000</v>
      </c>
    </row>
    <row r="712" spans="1:6" s="12" customFormat="1" ht="31.5">
      <c r="A712" s="24" t="s">
        <v>484</v>
      </c>
      <c r="B712" s="18" t="s">
        <v>485</v>
      </c>
      <c r="C712" s="18"/>
      <c r="D712" s="19">
        <f>SUM(D713,D715,D717)</f>
        <v>13231000</v>
      </c>
      <c r="E712" s="20">
        <f>SUM(E713,E715,E717)</f>
        <v>0</v>
      </c>
      <c r="F712" s="20">
        <f aca="true" t="shared" si="11" ref="F712:F775">SUM(D712:E712)</f>
        <v>13231000</v>
      </c>
    </row>
    <row r="713" spans="1:6" s="12" customFormat="1" ht="78.75">
      <c r="A713" s="37" t="s">
        <v>105</v>
      </c>
      <c r="B713" s="18" t="s">
        <v>485</v>
      </c>
      <c r="C713" s="38" t="s">
        <v>106</v>
      </c>
      <c r="D713" s="19">
        <f>D714</f>
        <v>10626000</v>
      </c>
      <c r="E713" s="20">
        <f>E714</f>
        <v>0</v>
      </c>
      <c r="F713" s="20">
        <f t="shared" si="11"/>
        <v>10626000</v>
      </c>
    </row>
    <row r="714" spans="1:6" s="29" customFormat="1" ht="31.5">
      <c r="A714" s="37" t="s">
        <v>107</v>
      </c>
      <c r="B714" s="18" t="s">
        <v>485</v>
      </c>
      <c r="C714" s="38" t="s">
        <v>108</v>
      </c>
      <c r="D714" s="19">
        <v>10626000</v>
      </c>
      <c r="E714" s="26">
        <v>0</v>
      </c>
      <c r="F714" s="20">
        <f t="shared" si="11"/>
        <v>10626000</v>
      </c>
    </row>
    <row r="715" spans="1:6" s="12" customFormat="1" ht="31.5">
      <c r="A715" s="28" t="s">
        <v>27</v>
      </c>
      <c r="B715" s="18" t="s">
        <v>485</v>
      </c>
      <c r="C715" s="38" t="s">
        <v>109</v>
      </c>
      <c r="D715" s="19">
        <f>D716</f>
        <v>2573000</v>
      </c>
      <c r="E715" s="20">
        <f>E716</f>
        <v>-5000</v>
      </c>
      <c r="F715" s="20">
        <f t="shared" si="11"/>
        <v>2568000</v>
      </c>
    </row>
    <row r="716" spans="1:6" s="12" customFormat="1" ht="31.5">
      <c r="A716" s="28" t="s">
        <v>28</v>
      </c>
      <c r="B716" s="18" t="s">
        <v>485</v>
      </c>
      <c r="C716" s="38" t="s">
        <v>110</v>
      </c>
      <c r="D716" s="19">
        <v>2573000</v>
      </c>
      <c r="E716" s="26">
        <v>-5000</v>
      </c>
      <c r="F716" s="20">
        <f t="shared" si="11"/>
        <v>2568000</v>
      </c>
    </row>
    <row r="717" spans="1:6" s="12" customFormat="1" ht="15.75">
      <c r="A717" s="28" t="s">
        <v>17</v>
      </c>
      <c r="B717" s="18" t="s">
        <v>485</v>
      </c>
      <c r="C717" s="38" t="s">
        <v>111</v>
      </c>
      <c r="D717" s="19">
        <f>D718</f>
        <v>32000</v>
      </c>
      <c r="E717" s="20">
        <f>E718</f>
        <v>5000</v>
      </c>
      <c r="F717" s="20">
        <f t="shared" si="11"/>
        <v>37000</v>
      </c>
    </row>
    <row r="718" spans="1:6" s="29" customFormat="1" ht="15.75">
      <c r="A718" s="28" t="s">
        <v>112</v>
      </c>
      <c r="B718" s="18" t="s">
        <v>485</v>
      </c>
      <c r="C718" s="38" t="s">
        <v>113</v>
      </c>
      <c r="D718" s="19">
        <v>32000</v>
      </c>
      <c r="E718" s="26">
        <v>5000</v>
      </c>
      <c r="F718" s="20">
        <f t="shared" si="11"/>
        <v>37000</v>
      </c>
    </row>
    <row r="719" spans="1:6" s="29" customFormat="1" ht="47.25">
      <c r="A719" s="24" t="s">
        <v>486</v>
      </c>
      <c r="B719" s="18" t="s">
        <v>487</v>
      </c>
      <c r="C719" s="18"/>
      <c r="D719" s="19">
        <f>SUM(D720,D722,D726,D724)</f>
        <v>175916400</v>
      </c>
      <c r="E719" s="19">
        <f>SUM(E720,E722,E726,E724)</f>
        <v>288970</v>
      </c>
      <c r="F719" s="20">
        <f t="shared" si="11"/>
        <v>176205370</v>
      </c>
    </row>
    <row r="720" spans="1:6" s="12" customFormat="1" ht="78.75">
      <c r="A720" s="37" t="s">
        <v>105</v>
      </c>
      <c r="B720" s="18" t="s">
        <v>487</v>
      </c>
      <c r="C720" s="38" t="s">
        <v>106</v>
      </c>
      <c r="D720" s="19">
        <f>D721</f>
        <v>165566400</v>
      </c>
      <c r="E720" s="20">
        <f>E721</f>
        <v>-50000</v>
      </c>
      <c r="F720" s="20">
        <f t="shared" si="11"/>
        <v>165516400</v>
      </c>
    </row>
    <row r="721" spans="1:6" s="12" customFormat="1" ht="31.5">
      <c r="A721" s="37" t="s">
        <v>107</v>
      </c>
      <c r="B721" s="18" t="s">
        <v>487</v>
      </c>
      <c r="C721" s="38" t="s">
        <v>108</v>
      </c>
      <c r="D721" s="25">
        <v>165566400</v>
      </c>
      <c r="E721" s="20">
        <f>-100000-713620-969200-482748-107500-200000-271000-50000+2844068</f>
        <v>-50000</v>
      </c>
      <c r="F721" s="20">
        <f t="shared" si="11"/>
        <v>165516400</v>
      </c>
    </row>
    <row r="722" spans="1:6" s="12" customFormat="1" ht="31.5">
      <c r="A722" s="28" t="s">
        <v>27</v>
      </c>
      <c r="B722" s="18" t="s">
        <v>487</v>
      </c>
      <c r="C722" s="38" t="s">
        <v>109</v>
      </c>
      <c r="D722" s="25">
        <f>D723</f>
        <v>10250000</v>
      </c>
      <c r="E722" s="22">
        <f>E723</f>
        <v>288970</v>
      </c>
      <c r="F722" s="20">
        <f t="shared" si="11"/>
        <v>10538970</v>
      </c>
    </row>
    <row r="723" spans="1:6" s="12" customFormat="1" ht="31.5">
      <c r="A723" s="28" t="s">
        <v>28</v>
      </c>
      <c r="B723" s="18" t="s">
        <v>487</v>
      </c>
      <c r="C723" s="38" t="s">
        <v>110</v>
      </c>
      <c r="D723" s="25">
        <v>10250000</v>
      </c>
      <c r="E723" s="20">
        <f>100000+713620+969200-39900+271000-1724950</f>
        <v>288970</v>
      </c>
      <c r="F723" s="20">
        <f t="shared" si="11"/>
        <v>10538970</v>
      </c>
    </row>
    <row r="724" spans="1:6" s="12" customFormat="1" ht="15.75">
      <c r="A724" s="24" t="s">
        <v>29</v>
      </c>
      <c r="B724" s="18" t="s">
        <v>487</v>
      </c>
      <c r="C724" s="38" t="s">
        <v>488</v>
      </c>
      <c r="D724" s="25">
        <f>D725</f>
        <v>0</v>
      </c>
      <c r="E724" s="20">
        <f>E725</f>
        <v>50000</v>
      </c>
      <c r="F724" s="20">
        <f t="shared" si="11"/>
        <v>50000</v>
      </c>
    </row>
    <row r="725" spans="1:6" s="12" customFormat="1" ht="31.5">
      <c r="A725" s="24" t="s">
        <v>211</v>
      </c>
      <c r="B725" s="18" t="s">
        <v>487</v>
      </c>
      <c r="C725" s="38" t="s">
        <v>489</v>
      </c>
      <c r="D725" s="25">
        <v>0</v>
      </c>
      <c r="E725" s="20">
        <v>50000</v>
      </c>
      <c r="F725" s="20">
        <f t="shared" si="11"/>
        <v>50000</v>
      </c>
    </row>
    <row r="726" spans="1:6" s="12" customFormat="1" ht="15.75">
      <c r="A726" s="28" t="s">
        <v>17</v>
      </c>
      <c r="B726" s="18" t="s">
        <v>487</v>
      </c>
      <c r="C726" s="38" t="s">
        <v>111</v>
      </c>
      <c r="D726" s="25">
        <f>D727</f>
        <v>100000</v>
      </c>
      <c r="E726" s="22">
        <f>E727</f>
        <v>0</v>
      </c>
      <c r="F726" s="20">
        <f t="shared" si="11"/>
        <v>100000</v>
      </c>
    </row>
    <row r="727" spans="1:6" s="12" customFormat="1" ht="15.75">
      <c r="A727" s="28" t="s">
        <v>112</v>
      </c>
      <c r="B727" s="18" t="s">
        <v>487</v>
      </c>
      <c r="C727" s="38" t="s">
        <v>113</v>
      </c>
      <c r="D727" s="25">
        <v>100000</v>
      </c>
      <c r="E727" s="26">
        <v>0</v>
      </c>
      <c r="F727" s="20">
        <f t="shared" si="11"/>
        <v>100000</v>
      </c>
    </row>
    <row r="728" spans="1:6" s="12" customFormat="1" ht="31.5">
      <c r="A728" s="24" t="s">
        <v>490</v>
      </c>
      <c r="B728" s="18" t="s">
        <v>491</v>
      </c>
      <c r="C728" s="18"/>
      <c r="D728" s="19">
        <f>SUM(D729,D731,D733)</f>
        <v>29750000</v>
      </c>
      <c r="E728" s="20">
        <f>SUM(E729,E731,E733)</f>
        <v>0</v>
      </c>
      <c r="F728" s="20">
        <f t="shared" si="11"/>
        <v>29750000</v>
      </c>
    </row>
    <row r="729" spans="1:6" s="12" customFormat="1" ht="78.75">
      <c r="A729" s="37" t="s">
        <v>105</v>
      </c>
      <c r="B729" s="18" t="s">
        <v>491</v>
      </c>
      <c r="C729" s="38" t="s">
        <v>106</v>
      </c>
      <c r="D729" s="19">
        <f>D730</f>
        <v>26000000</v>
      </c>
      <c r="E729" s="20">
        <f>E730</f>
        <v>220000</v>
      </c>
      <c r="F729" s="20">
        <f t="shared" si="11"/>
        <v>26220000</v>
      </c>
    </row>
    <row r="730" spans="1:6" s="12" customFormat="1" ht="31.5">
      <c r="A730" s="37" t="s">
        <v>107</v>
      </c>
      <c r="B730" s="18" t="s">
        <v>491</v>
      </c>
      <c r="C730" s="38" t="s">
        <v>108</v>
      </c>
      <c r="D730" s="25">
        <v>26000000</v>
      </c>
      <c r="E730" s="26">
        <v>220000</v>
      </c>
      <c r="F730" s="20">
        <f t="shared" si="11"/>
        <v>26220000</v>
      </c>
    </row>
    <row r="731" spans="1:6" s="12" customFormat="1" ht="31.5">
      <c r="A731" s="28" t="s">
        <v>27</v>
      </c>
      <c r="B731" s="18" t="s">
        <v>491</v>
      </c>
      <c r="C731" s="38" t="s">
        <v>109</v>
      </c>
      <c r="D731" s="25">
        <f>D732</f>
        <v>3700000</v>
      </c>
      <c r="E731" s="22">
        <f>E732</f>
        <v>-220000</v>
      </c>
      <c r="F731" s="20">
        <f t="shared" si="11"/>
        <v>3480000</v>
      </c>
    </row>
    <row r="732" spans="1:6" s="12" customFormat="1" ht="31.5">
      <c r="A732" s="28" t="s">
        <v>28</v>
      </c>
      <c r="B732" s="18" t="s">
        <v>491</v>
      </c>
      <c r="C732" s="38" t="s">
        <v>110</v>
      </c>
      <c r="D732" s="25">
        <v>3700000</v>
      </c>
      <c r="E732" s="26">
        <v>-220000</v>
      </c>
      <c r="F732" s="20">
        <f t="shared" si="11"/>
        <v>3480000</v>
      </c>
    </row>
    <row r="733" spans="1:6" s="12" customFormat="1" ht="15.75">
      <c r="A733" s="28" t="s">
        <v>17</v>
      </c>
      <c r="B733" s="18" t="s">
        <v>491</v>
      </c>
      <c r="C733" s="38" t="s">
        <v>111</v>
      </c>
      <c r="D733" s="25">
        <f>D734</f>
        <v>50000</v>
      </c>
      <c r="E733" s="22">
        <f>E734</f>
        <v>0</v>
      </c>
      <c r="F733" s="20">
        <f t="shared" si="11"/>
        <v>50000</v>
      </c>
    </row>
    <row r="734" spans="1:6" s="12" customFormat="1" ht="15.75">
      <c r="A734" s="28" t="s">
        <v>112</v>
      </c>
      <c r="B734" s="18" t="s">
        <v>491</v>
      </c>
      <c r="C734" s="38" t="s">
        <v>113</v>
      </c>
      <c r="D734" s="25">
        <v>50000</v>
      </c>
      <c r="E734" s="26">
        <v>0</v>
      </c>
      <c r="F734" s="20">
        <f t="shared" si="11"/>
        <v>50000</v>
      </c>
    </row>
    <row r="735" spans="1:6" s="12" customFormat="1" ht="47.25">
      <c r="A735" s="28" t="s">
        <v>492</v>
      </c>
      <c r="B735" s="18" t="s">
        <v>493</v>
      </c>
      <c r="C735" s="38"/>
      <c r="D735" s="25">
        <f>D736+D738+D740</f>
        <v>27269500</v>
      </c>
      <c r="E735" s="22">
        <f>E736+E738+E740</f>
        <v>0</v>
      </c>
      <c r="F735" s="20">
        <f t="shared" si="11"/>
        <v>27269500</v>
      </c>
    </row>
    <row r="736" spans="1:6" s="12" customFormat="1" ht="78.75">
      <c r="A736" s="37" t="s">
        <v>105</v>
      </c>
      <c r="B736" s="18" t="s">
        <v>493</v>
      </c>
      <c r="C736" s="38" t="s">
        <v>106</v>
      </c>
      <c r="D736" s="25">
        <f>D737</f>
        <v>17056000</v>
      </c>
      <c r="E736" s="22">
        <f>E737</f>
        <v>0</v>
      </c>
      <c r="F736" s="20">
        <f t="shared" si="11"/>
        <v>17056000</v>
      </c>
    </row>
    <row r="737" spans="1:6" s="12" customFormat="1" ht="31.5">
      <c r="A737" s="37" t="s">
        <v>107</v>
      </c>
      <c r="B737" s="18" t="s">
        <v>493</v>
      </c>
      <c r="C737" s="38" t="s">
        <v>108</v>
      </c>
      <c r="D737" s="25">
        <v>17056000</v>
      </c>
      <c r="E737" s="26">
        <v>0</v>
      </c>
      <c r="F737" s="20">
        <f t="shared" si="11"/>
        <v>17056000</v>
      </c>
    </row>
    <row r="738" spans="1:6" s="12" customFormat="1" ht="31.5">
      <c r="A738" s="28" t="s">
        <v>27</v>
      </c>
      <c r="B738" s="18" t="s">
        <v>493</v>
      </c>
      <c r="C738" s="38" t="s">
        <v>109</v>
      </c>
      <c r="D738" s="25">
        <f>D739</f>
        <v>10200000</v>
      </c>
      <c r="E738" s="22">
        <f>E739</f>
        <v>-4000</v>
      </c>
      <c r="F738" s="20">
        <f t="shared" si="11"/>
        <v>10196000</v>
      </c>
    </row>
    <row r="739" spans="1:6" s="12" customFormat="1" ht="31.5">
      <c r="A739" s="28" t="s">
        <v>28</v>
      </c>
      <c r="B739" s="18" t="s">
        <v>493</v>
      </c>
      <c r="C739" s="38" t="s">
        <v>110</v>
      </c>
      <c r="D739" s="25">
        <v>10200000</v>
      </c>
      <c r="E739" s="26">
        <v>-4000</v>
      </c>
      <c r="F739" s="20">
        <f t="shared" si="11"/>
        <v>10196000</v>
      </c>
    </row>
    <row r="740" spans="1:6" s="12" customFormat="1" ht="15.75">
      <c r="A740" s="28" t="s">
        <v>17</v>
      </c>
      <c r="B740" s="18" t="s">
        <v>493</v>
      </c>
      <c r="C740" s="38" t="s">
        <v>111</v>
      </c>
      <c r="D740" s="25">
        <f>D741</f>
        <v>13500</v>
      </c>
      <c r="E740" s="22">
        <f>E741</f>
        <v>4000</v>
      </c>
      <c r="F740" s="20">
        <f t="shared" si="11"/>
        <v>17500</v>
      </c>
    </row>
    <row r="741" spans="1:6" s="12" customFormat="1" ht="15.75">
      <c r="A741" s="28" t="s">
        <v>112</v>
      </c>
      <c r="B741" s="18" t="s">
        <v>493</v>
      </c>
      <c r="C741" s="38" t="s">
        <v>113</v>
      </c>
      <c r="D741" s="25">
        <v>13500</v>
      </c>
      <c r="E741" s="26">
        <v>4000</v>
      </c>
      <c r="F741" s="20">
        <f t="shared" si="11"/>
        <v>17500</v>
      </c>
    </row>
    <row r="742" spans="1:6" s="12" customFormat="1" ht="47.25">
      <c r="A742" s="28" t="s">
        <v>494</v>
      </c>
      <c r="B742" s="18" t="s">
        <v>495</v>
      </c>
      <c r="C742" s="38"/>
      <c r="D742" s="25">
        <f>D743</f>
        <v>0</v>
      </c>
      <c r="E742" s="25">
        <f>E743</f>
        <v>467726</v>
      </c>
      <c r="F742" s="20">
        <f t="shared" si="11"/>
        <v>467726</v>
      </c>
    </row>
    <row r="743" spans="1:6" s="12" customFormat="1" ht="78.75">
      <c r="A743" s="37" t="s">
        <v>105</v>
      </c>
      <c r="B743" s="18" t="s">
        <v>495</v>
      </c>
      <c r="C743" s="38" t="s">
        <v>106</v>
      </c>
      <c r="D743" s="25">
        <f>D744</f>
        <v>0</v>
      </c>
      <c r="E743" s="25">
        <f>E744</f>
        <v>467726</v>
      </c>
      <c r="F743" s="20">
        <f t="shared" si="11"/>
        <v>467726</v>
      </c>
    </row>
    <row r="744" spans="1:6" s="12" customFormat="1" ht="31.5">
      <c r="A744" s="37" t="s">
        <v>107</v>
      </c>
      <c r="B744" s="18" t="s">
        <v>495</v>
      </c>
      <c r="C744" s="38" t="s">
        <v>108</v>
      </c>
      <c r="D744" s="25">
        <v>0</v>
      </c>
      <c r="E744" s="25">
        <v>467726</v>
      </c>
      <c r="F744" s="20">
        <f t="shared" si="11"/>
        <v>467726</v>
      </c>
    </row>
    <row r="745" spans="1:6" s="12" customFormat="1" ht="31.5">
      <c r="A745" s="28" t="s">
        <v>496</v>
      </c>
      <c r="B745" s="18" t="s">
        <v>497</v>
      </c>
      <c r="C745" s="38"/>
      <c r="D745" s="19">
        <f>D746+D748</f>
        <v>5105932</v>
      </c>
      <c r="E745" s="20">
        <f>E746+E748</f>
        <v>0</v>
      </c>
      <c r="F745" s="20">
        <f t="shared" si="11"/>
        <v>5105932</v>
      </c>
    </row>
    <row r="746" spans="1:6" s="12" customFormat="1" ht="78.75">
      <c r="A746" s="37" t="s">
        <v>105</v>
      </c>
      <c r="B746" s="18" t="s">
        <v>497</v>
      </c>
      <c r="C746" s="38" t="s">
        <v>106</v>
      </c>
      <c r="D746" s="19">
        <f>D747</f>
        <v>4305000</v>
      </c>
      <c r="E746" s="22">
        <f>E747</f>
        <v>-117183.53</v>
      </c>
      <c r="F746" s="20">
        <f t="shared" si="11"/>
        <v>4187816.47</v>
      </c>
    </row>
    <row r="747" spans="1:6" s="12" customFormat="1" ht="31.5">
      <c r="A747" s="37" t="s">
        <v>107</v>
      </c>
      <c r="B747" s="18" t="s">
        <v>497</v>
      </c>
      <c r="C747" s="38" t="s">
        <v>108</v>
      </c>
      <c r="D747" s="25">
        <v>4305000</v>
      </c>
      <c r="E747" s="20">
        <f>-78900-5244.53-33039</f>
        <v>-117183.53</v>
      </c>
      <c r="F747" s="20">
        <f t="shared" si="11"/>
        <v>4187816.47</v>
      </c>
    </row>
    <row r="748" spans="1:6" s="12" customFormat="1" ht="31.5">
      <c r="A748" s="28" t="s">
        <v>27</v>
      </c>
      <c r="B748" s="18" t="s">
        <v>497</v>
      </c>
      <c r="C748" s="38" t="s">
        <v>109</v>
      </c>
      <c r="D748" s="25">
        <f>D749</f>
        <v>800932</v>
      </c>
      <c r="E748" s="22">
        <f>E749</f>
        <v>117183.53</v>
      </c>
      <c r="F748" s="20">
        <f t="shared" si="11"/>
        <v>918115.53</v>
      </c>
    </row>
    <row r="749" spans="1:6" s="12" customFormat="1" ht="31.5">
      <c r="A749" s="37" t="s">
        <v>28</v>
      </c>
      <c r="B749" s="18" t="s">
        <v>497</v>
      </c>
      <c r="C749" s="38" t="s">
        <v>110</v>
      </c>
      <c r="D749" s="25">
        <v>800932</v>
      </c>
      <c r="E749" s="20">
        <f>78900+5244.53+33039</f>
        <v>117183.53</v>
      </c>
      <c r="F749" s="20">
        <f t="shared" si="11"/>
        <v>918115.53</v>
      </c>
    </row>
    <row r="750" spans="1:6" s="12" customFormat="1" ht="63">
      <c r="A750" s="37" t="s">
        <v>498</v>
      </c>
      <c r="B750" s="18" t="s">
        <v>499</v>
      </c>
      <c r="C750" s="38"/>
      <c r="D750" s="25">
        <f>D751</f>
        <v>0</v>
      </c>
      <c r="E750" s="25">
        <f>E751</f>
        <v>8354451</v>
      </c>
      <c r="F750" s="20">
        <f t="shared" si="11"/>
        <v>8354451</v>
      </c>
    </row>
    <row r="751" spans="1:6" s="12" customFormat="1" ht="78.75">
      <c r="A751" s="37" t="s">
        <v>105</v>
      </c>
      <c r="B751" s="18" t="s">
        <v>499</v>
      </c>
      <c r="C751" s="38" t="s">
        <v>106</v>
      </c>
      <c r="D751" s="25">
        <f>D752</f>
        <v>0</v>
      </c>
      <c r="E751" s="25">
        <f>E752</f>
        <v>8354451</v>
      </c>
      <c r="F751" s="20">
        <f t="shared" si="11"/>
        <v>8354451</v>
      </c>
    </row>
    <row r="752" spans="1:6" s="12" customFormat="1" ht="31.5">
      <c r="A752" s="37" t="s">
        <v>107</v>
      </c>
      <c r="B752" s="18" t="s">
        <v>499</v>
      </c>
      <c r="C752" s="38" t="s">
        <v>108</v>
      </c>
      <c r="D752" s="25">
        <v>0</v>
      </c>
      <c r="E752" s="25">
        <v>8354451</v>
      </c>
      <c r="F752" s="20">
        <f t="shared" si="11"/>
        <v>8354451</v>
      </c>
    </row>
    <row r="753" spans="1:6" s="12" customFormat="1" ht="15.75">
      <c r="A753" s="24" t="s">
        <v>500</v>
      </c>
      <c r="B753" s="18" t="s">
        <v>501</v>
      </c>
      <c r="C753" s="18"/>
      <c r="D753" s="19">
        <f>SUM(D754,D757,D760,D763)</f>
        <v>10000000</v>
      </c>
      <c r="E753" s="19">
        <f>SUM(E754,E757,E760,E763)</f>
        <v>0</v>
      </c>
      <c r="F753" s="20">
        <f t="shared" si="11"/>
        <v>10000000</v>
      </c>
    </row>
    <row r="754" spans="1:6" s="12" customFormat="1" ht="15.75">
      <c r="A754" s="24" t="s">
        <v>502</v>
      </c>
      <c r="B754" s="18" t="s">
        <v>503</v>
      </c>
      <c r="C754" s="18"/>
      <c r="D754" s="19">
        <f>D755</f>
        <v>7200000</v>
      </c>
      <c r="E754" s="20">
        <f>E755</f>
        <v>-720003.74</v>
      </c>
      <c r="F754" s="20">
        <f t="shared" si="11"/>
        <v>6479996.26</v>
      </c>
    </row>
    <row r="755" spans="1:6" s="12" customFormat="1" ht="15.75">
      <c r="A755" s="28" t="s">
        <v>17</v>
      </c>
      <c r="B755" s="18" t="s">
        <v>503</v>
      </c>
      <c r="C755" s="18">
        <v>800</v>
      </c>
      <c r="D755" s="19">
        <f>D756</f>
        <v>7200000</v>
      </c>
      <c r="E755" s="20">
        <f>E756</f>
        <v>-720003.74</v>
      </c>
      <c r="F755" s="20">
        <f t="shared" si="11"/>
        <v>6479996.26</v>
      </c>
    </row>
    <row r="756" spans="1:6" s="12" customFormat="1" ht="15.75">
      <c r="A756" s="24" t="s">
        <v>504</v>
      </c>
      <c r="B756" s="18" t="s">
        <v>503</v>
      </c>
      <c r="C756" s="18">
        <v>870</v>
      </c>
      <c r="D756" s="19">
        <v>7200000</v>
      </c>
      <c r="E756" s="26">
        <f>-68400-651603.74</f>
        <v>-720003.74</v>
      </c>
      <c r="F756" s="20">
        <f t="shared" si="11"/>
        <v>6479996.26</v>
      </c>
    </row>
    <row r="757" spans="1:6" s="12" customFormat="1" ht="47.25">
      <c r="A757" s="24" t="s">
        <v>505</v>
      </c>
      <c r="B757" s="18" t="s">
        <v>506</v>
      </c>
      <c r="C757" s="18"/>
      <c r="D757" s="19">
        <f>D758</f>
        <v>2800000</v>
      </c>
      <c r="E757" s="20">
        <f>E758</f>
        <v>-2017190</v>
      </c>
      <c r="F757" s="20">
        <f t="shared" si="11"/>
        <v>782810</v>
      </c>
    </row>
    <row r="758" spans="1:6" s="12" customFormat="1" ht="15.75">
      <c r="A758" s="28" t="s">
        <v>17</v>
      </c>
      <c r="B758" s="18" t="s">
        <v>506</v>
      </c>
      <c r="C758" s="18">
        <v>800</v>
      </c>
      <c r="D758" s="19">
        <f>D759</f>
        <v>2800000</v>
      </c>
      <c r="E758" s="20">
        <f>E759</f>
        <v>-2017190</v>
      </c>
      <c r="F758" s="20">
        <f t="shared" si="11"/>
        <v>782810</v>
      </c>
    </row>
    <row r="759" spans="1:6" s="12" customFormat="1" ht="15.75">
      <c r="A759" s="24" t="s">
        <v>504</v>
      </c>
      <c r="B759" s="18" t="s">
        <v>506</v>
      </c>
      <c r="C759" s="18">
        <v>870</v>
      </c>
      <c r="D759" s="19">
        <v>2800000</v>
      </c>
      <c r="E759" s="20">
        <v>-2017190</v>
      </c>
      <c r="F759" s="20">
        <f t="shared" si="11"/>
        <v>782810</v>
      </c>
    </row>
    <row r="760" spans="1:6" s="12" customFormat="1" ht="31.5">
      <c r="A760" s="24" t="s">
        <v>507</v>
      </c>
      <c r="B760" s="18" t="s">
        <v>508</v>
      </c>
      <c r="C760" s="18"/>
      <c r="D760" s="22">
        <f>D761</f>
        <v>0</v>
      </c>
      <c r="E760" s="22">
        <f>E761</f>
        <v>720003.74</v>
      </c>
      <c r="F760" s="23">
        <f t="shared" si="11"/>
        <v>720003.74</v>
      </c>
    </row>
    <row r="761" spans="1:6" s="12" customFormat="1" ht="31.5">
      <c r="A761" s="28" t="s">
        <v>27</v>
      </c>
      <c r="B761" s="18" t="s">
        <v>508</v>
      </c>
      <c r="C761" s="18">
        <v>200</v>
      </c>
      <c r="D761" s="22">
        <f>D762</f>
        <v>0</v>
      </c>
      <c r="E761" s="22">
        <f>E762</f>
        <v>720003.74</v>
      </c>
      <c r="F761" s="23">
        <f t="shared" si="11"/>
        <v>720003.74</v>
      </c>
    </row>
    <row r="762" spans="1:6" s="12" customFormat="1" ht="31.5">
      <c r="A762" s="28" t="s">
        <v>28</v>
      </c>
      <c r="B762" s="18" t="s">
        <v>508</v>
      </c>
      <c r="C762" s="18">
        <v>240</v>
      </c>
      <c r="D762" s="22"/>
      <c r="E762" s="20">
        <f>68400+651603.74</f>
        <v>720003.74</v>
      </c>
      <c r="F762" s="23">
        <f t="shared" si="11"/>
        <v>720003.74</v>
      </c>
    </row>
    <row r="763" spans="1:6" s="12" customFormat="1" ht="63">
      <c r="A763" s="28" t="s">
        <v>509</v>
      </c>
      <c r="B763" s="18" t="s">
        <v>510</v>
      </c>
      <c r="C763" s="18"/>
      <c r="D763" s="22">
        <f>D764</f>
        <v>0</v>
      </c>
      <c r="E763" s="22">
        <f>E764</f>
        <v>2017190</v>
      </c>
      <c r="F763" s="23">
        <f t="shared" si="11"/>
        <v>2017190</v>
      </c>
    </row>
    <row r="764" spans="1:6" s="12" customFormat="1" ht="31.5">
      <c r="A764" s="28" t="s">
        <v>27</v>
      </c>
      <c r="B764" s="18" t="s">
        <v>510</v>
      </c>
      <c r="C764" s="18">
        <v>200</v>
      </c>
      <c r="D764" s="22">
        <f>D765</f>
        <v>0</v>
      </c>
      <c r="E764" s="22">
        <f>E765</f>
        <v>2017190</v>
      </c>
      <c r="F764" s="23">
        <f t="shared" si="11"/>
        <v>2017190</v>
      </c>
    </row>
    <row r="765" spans="1:6" s="12" customFormat="1" ht="31.5">
      <c r="A765" s="28" t="s">
        <v>28</v>
      </c>
      <c r="B765" s="18" t="s">
        <v>510</v>
      </c>
      <c r="C765" s="18">
        <v>240</v>
      </c>
      <c r="D765" s="22"/>
      <c r="E765" s="20">
        <v>2017190</v>
      </c>
      <c r="F765" s="23">
        <f t="shared" si="11"/>
        <v>2017190</v>
      </c>
    </row>
    <row r="766" spans="1:6" s="12" customFormat="1" ht="47.25">
      <c r="A766" s="24" t="s">
        <v>511</v>
      </c>
      <c r="B766" s="18" t="s">
        <v>512</v>
      </c>
      <c r="C766" s="18"/>
      <c r="D766" s="19">
        <f>SUM(D767,D770,D773,D779,D782,D785,D788,D776,D791,D794,D797,D800,D806,D803,D809,D812,D815,D818)</f>
        <v>102581300</v>
      </c>
      <c r="E766" s="19">
        <f>SUM(E767,E770,E773,E779,E782,E785,E788,E776,E791,E794,E797,E800,E806,E803,E809,E812,E815,E818)</f>
        <v>50727903</v>
      </c>
      <c r="F766" s="20">
        <f t="shared" si="11"/>
        <v>153309203</v>
      </c>
    </row>
    <row r="767" spans="1:6" s="12" customFormat="1" ht="47.25">
      <c r="A767" s="24" t="s">
        <v>513</v>
      </c>
      <c r="B767" s="18" t="s">
        <v>514</v>
      </c>
      <c r="C767" s="18"/>
      <c r="D767" s="19">
        <f>D768</f>
        <v>500000</v>
      </c>
      <c r="E767" s="20">
        <f>E768</f>
        <v>0</v>
      </c>
      <c r="F767" s="20">
        <f t="shared" si="11"/>
        <v>500000</v>
      </c>
    </row>
    <row r="768" spans="1:6" s="1" customFormat="1" ht="31.5">
      <c r="A768" s="28" t="s">
        <v>27</v>
      </c>
      <c r="B768" s="18" t="s">
        <v>514</v>
      </c>
      <c r="C768" s="18">
        <v>200</v>
      </c>
      <c r="D768" s="19">
        <f>D769</f>
        <v>500000</v>
      </c>
      <c r="E768" s="20">
        <f>E769</f>
        <v>0</v>
      </c>
      <c r="F768" s="20">
        <f t="shared" si="11"/>
        <v>500000</v>
      </c>
    </row>
    <row r="769" spans="1:6" s="1" customFormat="1" ht="31.5">
      <c r="A769" s="28" t="s">
        <v>28</v>
      </c>
      <c r="B769" s="18" t="s">
        <v>514</v>
      </c>
      <c r="C769" s="18">
        <v>240</v>
      </c>
      <c r="D769" s="19">
        <v>500000</v>
      </c>
      <c r="E769" s="26">
        <v>0</v>
      </c>
      <c r="F769" s="20">
        <f t="shared" si="11"/>
        <v>500000</v>
      </c>
    </row>
    <row r="770" spans="1:6" ht="47.25">
      <c r="A770" s="24" t="s">
        <v>515</v>
      </c>
      <c r="B770" s="18" t="s">
        <v>516</v>
      </c>
      <c r="C770" s="18"/>
      <c r="D770" s="19">
        <f>D771</f>
        <v>3600000</v>
      </c>
      <c r="E770" s="20">
        <f>E771</f>
        <v>0</v>
      </c>
      <c r="F770" s="20">
        <f t="shared" si="11"/>
        <v>3600000</v>
      </c>
    </row>
    <row r="771" spans="1:6" ht="31.5">
      <c r="A771" s="28" t="s">
        <v>27</v>
      </c>
      <c r="B771" s="18" t="s">
        <v>516</v>
      </c>
      <c r="C771" s="18">
        <v>200</v>
      </c>
      <c r="D771" s="19">
        <f>D772</f>
        <v>3600000</v>
      </c>
      <c r="E771" s="20">
        <f>E772</f>
        <v>0</v>
      </c>
      <c r="F771" s="20">
        <f t="shared" si="11"/>
        <v>3600000</v>
      </c>
    </row>
    <row r="772" spans="1:6" ht="31.5">
      <c r="A772" s="28" t="s">
        <v>28</v>
      </c>
      <c r="B772" s="18" t="s">
        <v>516</v>
      </c>
      <c r="C772" s="18">
        <v>240</v>
      </c>
      <c r="D772" s="19">
        <f>2550000+1050000</f>
        <v>3600000</v>
      </c>
      <c r="E772" s="26">
        <v>0</v>
      </c>
      <c r="F772" s="20">
        <f t="shared" si="11"/>
        <v>3600000</v>
      </c>
    </row>
    <row r="773" spans="1:6" ht="15.75">
      <c r="A773" s="24" t="s">
        <v>517</v>
      </c>
      <c r="B773" s="18" t="s">
        <v>518</v>
      </c>
      <c r="C773" s="18"/>
      <c r="D773" s="19">
        <f>D774</f>
        <v>25000000</v>
      </c>
      <c r="E773" s="20">
        <f>E774</f>
        <v>0</v>
      </c>
      <c r="F773" s="20">
        <f t="shared" si="11"/>
        <v>25000000</v>
      </c>
    </row>
    <row r="774" spans="1:6" s="12" customFormat="1" ht="31.5">
      <c r="A774" s="24" t="s">
        <v>519</v>
      </c>
      <c r="B774" s="18" t="s">
        <v>518</v>
      </c>
      <c r="C774" s="18">
        <v>700</v>
      </c>
      <c r="D774" s="19">
        <f>D775</f>
        <v>25000000</v>
      </c>
      <c r="E774" s="20">
        <f>E775</f>
        <v>0</v>
      </c>
      <c r="F774" s="20">
        <f t="shared" si="11"/>
        <v>25000000</v>
      </c>
    </row>
    <row r="775" spans="1:6" s="45" customFormat="1" ht="16.5">
      <c r="A775" s="24" t="s">
        <v>520</v>
      </c>
      <c r="B775" s="18" t="s">
        <v>518</v>
      </c>
      <c r="C775" s="18">
        <v>730</v>
      </c>
      <c r="D775" s="19">
        <v>25000000</v>
      </c>
      <c r="E775" s="26">
        <v>0</v>
      </c>
      <c r="F775" s="20">
        <f t="shared" si="11"/>
        <v>25000000</v>
      </c>
    </row>
    <row r="776" spans="1:6" ht="63">
      <c r="A776" s="24" t="s">
        <v>521</v>
      </c>
      <c r="B776" s="18" t="s">
        <v>522</v>
      </c>
      <c r="C776" s="18"/>
      <c r="D776" s="19">
        <f>D777</f>
        <v>20000000</v>
      </c>
      <c r="E776" s="20">
        <f>E777</f>
        <v>0</v>
      </c>
      <c r="F776" s="20">
        <f aca="true" t="shared" si="12" ref="F776:F839">SUM(D776:E776)</f>
        <v>20000000</v>
      </c>
    </row>
    <row r="777" spans="1:6" ht="15.75">
      <c r="A777" s="24" t="s">
        <v>17</v>
      </c>
      <c r="B777" s="18" t="s">
        <v>522</v>
      </c>
      <c r="C777" s="18">
        <v>800</v>
      </c>
      <c r="D777" s="19">
        <f>D778</f>
        <v>20000000</v>
      </c>
      <c r="E777" s="20">
        <f>E778</f>
        <v>0</v>
      </c>
      <c r="F777" s="20">
        <f t="shared" si="12"/>
        <v>20000000</v>
      </c>
    </row>
    <row r="778" spans="1:6" ht="63">
      <c r="A778" s="24" t="s">
        <v>18</v>
      </c>
      <c r="B778" s="18" t="s">
        <v>522</v>
      </c>
      <c r="C778" s="18">
        <v>810</v>
      </c>
      <c r="D778" s="19">
        <v>20000000</v>
      </c>
      <c r="E778" s="26"/>
      <c r="F778" s="20">
        <f t="shared" si="12"/>
        <v>20000000</v>
      </c>
    </row>
    <row r="779" spans="1:6" s="12" customFormat="1" ht="15.75">
      <c r="A779" s="24" t="s">
        <v>523</v>
      </c>
      <c r="B779" s="18" t="s">
        <v>524</v>
      </c>
      <c r="C779" s="18"/>
      <c r="D779" s="19">
        <f>D780</f>
        <v>44000000</v>
      </c>
      <c r="E779" s="20">
        <f>E780</f>
        <v>15000000</v>
      </c>
      <c r="F779" s="20">
        <f t="shared" si="12"/>
        <v>59000000</v>
      </c>
    </row>
    <row r="780" spans="1:6" s="12" customFormat="1" ht="15.75">
      <c r="A780" s="28" t="s">
        <v>17</v>
      </c>
      <c r="B780" s="18" t="s">
        <v>524</v>
      </c>
      <c r="C780" s="18">
        <v>800</v>
      </c>
      <c r="D780" s="19">
        <f>D781</f>
        <v>44000000</v>
      </c>
      <c r="E780" s="20">
        <f>E781</f>
        <v>15000000</v>
      </c>
      <c r="F780" s="20">
        <f t="shared" si="12"/>
        <v>59000000</v>
      </c>
    </row>
    <row r="781" spans="1:6" s="12" customFormat="1" ht="63">
      <c r="A781" s="24" t="s">
        <v>18</v>
      </c>
      <c r="B781" s="18" t="s">
        <v>524</v>
      </c>
      <c r="C781" s="18">
        <v>810</v>
      </c>
      <c r="D781" s="19">
        <v>44000000</v>
      </c>
      <c r="E781" s="20">
        <f>-6500000+7000000-3500000-7000000+859650+7500000+1640350+200000+8300000+6500000</f>
        <v>15000000</v>
      </c>
      <c r="F781" s="20">
        <f t="shared" si="12"/>
        <v>59000000</v>
      </c>
    </row>
    <row r="782" spans="1:6" s="12" customFormat="1" ht="63">
      <c r="A782" s="24" t="s">
        <v>525</v>
      </c>
      <c r="B782" s="18" t="s">
        <v>526</v>
      </c>
      <c r="C782" s="18"/>
      <c r="D782" s="19">
        <f>D783</f>
        <v>200000</v>
      </c>
      <c r="E782" s="20">
        <f>E783</f>
        <v>0</v>
      </c>
      <c r="F782" s="20">
        <f t="shared" si="12"/>
        <v>200000</v>
      </c>
    </row>
    <row r="783" spans="1:6" s="12" customFormat="1" ht="31.5">
      <c r="A783" s="24" t="s">
        <v>14</v>
      </c>
      <c r="B783" s="18" t="s">
        <v>526</v>
      </c>
      <c r="C783" s="18">
        <v>600</v>
      </c>
      <c r="D783" s="19">
        <f>D784</f>
        <v>200000</v>
      </c>
      <c r="E783" s="20">
        <f>E784</f>
        <v>0</v>
      </c>
      <c r="F783" s="20">
        <f t="shared" si="12"/>
        <v>200000</v>
      </c>
    </row>
    <row r="784" spans="1:8" s="57" customFormat="1" ht="47.25">
      <c r="A784" s="24" t="s">
        <v>16</v>
      </c>
      <c r="B784" s="18" t="s">
        <v>526</v>
      </c>
      <c r="C784" s="18">
        <v>630</v>
      </c>
      <c r="D784" s="19">
        <v>200000</v>
      </c>
      <c r="E784" s="26">
        <v>0</v>
      </c>
      <c r="F784" s="20">
        <f t="shared" si="12"/>
        <v>200000</v>
      </c>
      <c r="G784" s="56"/>
      <c r="H784" s="56"/>
    </row>
    <row r="785" spans="1:6" s="58" customFormat="1" ht="157.5">
      <c r="A785" s="24" t="s">
        <v>527</v>
      </c>
      <c r="B785" s="18" t="s">
        <v>528</v>
      </c>
      <c r="C785" s="18"/>
      <c r="D785" s="19">
        <f>D786</f>
        <v>500000</v>
      </c>
      <c r="E785" s="20">
        <f>E786</f>
        <v>0</v>
      </c>
      <c r="F785" s="20">
        <f t="shared" si="12"/>
        <v>500000</v>
      </c>
    </row>
    <row r="786" spans="1:6" ht="31.5">
      <c r="A786" s="24" t="s">
        <v>14</v>
      </c>
      <c r="B786" s="18" t="s">
        <v>528</v>
      </c>
      <c r="C786" s="18">
        <v>600</v>
      </c>
      <c r="D786" s="19">
        <f>D787</f>
        <v>500000</v>
      </c>
      <c r="E786" s="20">
        <f>E787</f>
        <v>0</v>
      </c>
      <c r="F786" s="20">
        <f t="shared" si="12"/>
        <v>500000</v>
      </c>
    </row>
    <row r="787" spans="1:6" ht="47.25">
      <c r="A787" s="24" t="s">
        <v>16</v>
      </c>
      <c r="B787" s="18" t="s">
        <v>528</v>
      </c>
      <c r="C787" s="18">
        <v>630</v>
      </c>
      <c r="D787" s="19">
        <v>500000</v>
      </c>
      <c r="E787" s="26">
        <v>0</v>
      </c>
      <c r="F787" s="20">
        <f t="shared" si="12"/>
        <v>500000</v>
      </c>
    </row>
    <row r="788" spans="1:6" ht="78.75">
      <c r="A788" s="59" t="s">
        <v>529</v>
      </c>
      <c r="B788" s="18" t="s">
        <v>530</v>
      </c>
      <c r="C788" s="18"/>
      <c r="D788" s="19">
        <f>D789</f>
        <v>700000</v>
      </c>
      <c r="E788" s="20">
        <f>E789</f>
        <v>99453</v>
      </c>
      <c r="F788" s="20">
        <f t="shared" si="12"/>
        <v>799453</v>
      </c>
    </row>
    <row r="789" spans="1:6" ht="15.75">
      <c r="A789" s="28" t="s">
        <v>17</v>
      </c>
      <c r="B789" s="18" t="s">
        <v>530</v>
      </c>
      <c r="C789" s="18">
        <v>800</v>
      </c>
      <c r="D789" s="19">
        <f>D790</f>
        <v>700000</v>
      </c>
      <c r="E789" s="20">
        <f>E790</f>
        <v>99453</v>
      </c>
      <c r="F789" s="20">
        <f t="shared" si="12"/>
        <v>799453</v>
      </c>
    </row>
    <row r="790" spans="1:6" ht="15.75">
      <c r="A790" s="28" t="s">
        <v>112</v>
      </c>
      <c r="B790" s="18" t="s">
        <v>530</v>
      </c>
      <c r="C790" s="18">
        <v>850</v>
      </c>
      <c r="D790" s="19">
        <v>700000</v>
      </c>
      <c r="E790" s="26">
        <v>99453</v>
      </c>
      <c r="F790" s="20">
        <f t="shared" si="12"/>
        <v>799453</v>
      </c>
    </row>
    <row r="791" spans="1:6" ht="31.5">
      <c r="A791" s="60" t="s">
        <v>531</v>
      </c>
      <c r="B791" s="61" t="s">
        <v>532</v>
      </c>
      <c r="C791" s="18"/>
      <c r="D791" s="19">
        <f>D792</f>
        <v>8081300</v>
      </c>
      <c r="E791" s="20">
        <f>E792</f>
        <v>0</v>
      </c>
      <c r="F791" s="20">
        <f t="shared" si="12"/>
        <v>8081300</v>
      </c>
    </row>
    <row r="792" spans="1:6" ht="15.75">
      <c r="A792" s="60" t="s">
        <v>17</v>
      </c>
      <c r="B792" s="61" t="s">
        <v>532</v>
      </c>
      <c r="C792" s="18">
        <v>800</v>
      </c>
      <c r="D792" s="19">
        <f>D793</f>
        <v>8081300</v>
      </c>
      <c r="E792" s="20">
        <f>E793</f>
        <v>0</v>
      </c>
      <c r="F792" s="20">
        <f t="shared" si="12"/>
        <v>8081300</v>
      </c>
    </row>
    <row r="793" spans="1:6" ht="15.75">
      <c r="A793" s="60" t="s">
        <v>310</v>
      </c>
      <c r="B793" s="61" t="s">
        <v>532</v>
      </c>
      <c r="C793" s="18">
        <v>880</v>
      </c>
      <c r="D793" s="19">
        <v>8081300</v>
      </c>
      <c r="E793" s="26">
        <v>0</v>
      </c>
      <c r="F793" s="20">
        <f t="shared" si="12"/>
        <v>8081300</v>
      </c>
    </row>
    <row r="794" spans="1:6" ht="63">
      <c r="A794" s="60" t="s">
        <v>533</v>
      </c>
      <c r="B794" s="61" t="s">
        <v>534</v>
      </c>
      <c r="C794" s="18"/>
      <c r="D794" s="19">
        <f>D795</f>
        <v>0</v>
      </c>
      <c r="E794" s="20">
        <f>E795</f>
        <v>17000000</v>
      </c>
      <c r="F794" s="20">
        <f t="shared" si="12"/>
        <v>17000000</v>
      </c>
    </row>
    <row r="795" spans="1:6" ht="15.75">
      <c r="A795" s="24" t="s">
        <v>17</v>
      </c>
      <c r="B795" s="61" t="s">
        <v>534</v>
      </c>
      <c r="C795" s="18">
        <v>800</v>
      </c>
      <c r="D795" s="19">
        <f>D796</f>
        <v>0</v>
      </c>
      <c r="E795" s="20">
        <f>E796</f>
        <v>17000000</v>
      </c>
      <c r="F795" s="20">
        <f t="shared" si="12"/>
        <v>17000000</v>
      </c>
    </row>
    <row r="796" spans="1:6" ht="63">
      <c r="A796" s="24" t="s">
        <v>18</v>
      </c>
      <c r="B796" s="61" t="s">
        <v>534</v>
      </c>
      <c r="C796" s="18">
        <v>810</v>
      </c>
      <c r="D796" s="19">
        <v>0</v>
      </c>
      <c r="E796" s="20">
        <f>6500000+3500000+7000000</f>
        <v>17000000</v>
      </c>
      <c r="F796" s="20">
        <f t="shared" si="12"/>
        <v>17000000</v>
      </c>
    </row>
    <row r="797" spans="1:6" ht="47.25">
      <c r="A797" s="24" t="s">
        <v>535</v>
      </c>
      <c r="B797" s="18" t="s">
        <v>536</v>
      </c>
      <c r="C797" s="18"/>
      <c r="D797" s="20">
        <f>D798</f>
        <v>0</v>
      </c>
      <c r="E797" s="20">
        <f>E798</f>
        <v>5000000</v>
      </c>
      <c r="F797" s="23">
        <f t="shared" si="12"/>
        <v>5000000</v>
      </c>
    </row>
    <row r="798" spans="1:6" ht="15.75">
      <c r="A798" s="28" t="s">
        <v>17</v>
      </c>
      <c r="B798" s="18" t="s">
        <v>536</v>
      </c>
      <c r="C798" s="18">
        <v>800</v>
      </c>
      <c r="D798" s="22">
        <f>D799</f>
        <v>0</v>
      </c>
      <c r="E798" s="20">
        <f>E799</f>
        <v>5000000</v>
      </c>
      <c r="F798" s="23">
        <f t="shared" si="12"/>
        <v>5000000</v>
      </c>
    </row>
    <row r="799" spans="1:6" ht="63">
      <c r="A799" s="24" t="s">
        <v>18</v>
      </c>
      <c r="B799" s="18" t="s">
        <v>536</v>
      </c>
      <c r="C799" s="18">
        <v>810</v>
      </c>
      <c r="D799" s="22">
        <v>0</v>
      </c>
      <c r="E799" s="20">
        <v>5000000</v>
      </c>
      <c r="F799" s="23">
        <f t="shared" si="12"/>
        <v>5000000</v>
      </c>
    </row>
    <row r="800" spans="1:6" ht="47.25">
      <c r="A800" s="24" t="s">
        <v>537</v>
      </c>
      <c r="B800" s="18" t="s">
        <v>538</v>
      </c>
      <c r="C800" s="18"/>
      <c r="D800" s="19">
        <f>D801</f>
        <v>0</v>
      </c>
      <c r="E800" s="19">
        <f>E801</f>
        <v>3500000</v>
      </c>
      <c r="F800" s="23">
        <f t="shared" si="12"/>
        <v>3500000</v>
      </c>
    </row>
    <row r="801" spans="1:6" ht="15.75">
      <c r="A801" s="28" t="s">
        <v>17</v>
      </c>
      <c r="B801" s="18" t="s">
        <v>538</v>
      </c>
      <c r="C801" s="18">
        <v>800</v>
      </c>
      <c r="D801" s="19">
        <f>D802</f>
        <v>0</v>
      </c>
      <c r="E801" s="19">
        <f>E802</f>
        <v>3500000</v>
      </c>
      <c r="F801" s="23">
        <f t="shared" si="12"/>
        <v>3500000</v>
      </c>
    </row>
    <row r="802" spans="1:6" ht="63">
      <c r="A802" s="24" t="s">
        <v>18</v>
      </c>
      <c r="B802" s="18" t="s">
        <v>538</v>
      </c>
      <c r="C802" s="18">
        <v>810</v>
      </c>
      <c r="D802" s="19">
        <v>0</v>
      </c>
      <c r="E802" s="19">
        <f>2000000+1500000</f>
        <v>3500000</v>
      </c>
      <c r="F802" s="23">
        <f t="shared" si="12"/>
        <v>3500000</v>
      </c>
    </row>
    <row r="803" spans="1:6" ht="47.25">
      <c r="A803" s="24" t="s">
        <v>539</v>
      </c>
      <c r="B803" s="18" t="s">
        <v>540</v>
      </c>
      <c r="C803" s="18"/>
      <c r="D803" s="19">
        <f>D804</f>
        <v>0</v>
      </c>
      <c r="E803" s="19">
        <f>E804</f>
        <v>3000000</v>
      </c>
      <c r="F803" s="23">
        <f t="shared" si="12"/>
        <v>3000000</v>
      </c>
    </row>
    <row r="804" spans="1:6" ht="15.75">
      <c r="A804" s="28" t="s">
        <v>17</v>
      </c>
      <c r="B804" s="18" t="s">
        <v>540</v>
      </c>
      <c r="C804" s="18">
        <v>800</v>
      </c>
      <c r="D804" s="19">
        <f>D805</f>
        <v>0</v>
      </c>
      <c r="E804" s="19">
        <f>E805</f>
        <v>3000000</v>
      </c>
      <c r="F804" s="23">
        <f t="shared" si="12"/>
        <v>3000000</v>
      </c>
    </row>
    <row r="805" spans="1:6" ht="63">
      <c r="A805" s="24" t="s">
        <v>18</v>
      </c>
      <c r="B805" s="18" t="s">
        <v>540</v>
      </c>
      <c r="C805" s="18">
        <v>810</v>
      </c>
      <c r="D805" s="19">
        <v>0</v>
      </c>
      <c r="E805" s="19">
        <f>1500000+1500000</f>
        <v>3000000</v>
      </c>
      <c r="F805" s="23">
        <f t="shared" si="12"/>
        <v>3000000</v>
      </c>
    </row>
    <row r="806" spans="1:6" ht="47.25">
      <c r="A806" s="24" t="s">
        <v>541</v>
      </c>
      <c r="B806" s="18" t="s">
        <v>542</v>
      </c>
      <c r="C806" s="18"/>
      <c r="D806" s="19">
        <f>D807</f>
        <v>0</v>
      </c>
      <c r="E806" s="19">
        <f>E807</f>
        <v>1500000</v>
      </c>
      <c r="F806" s="23">
        <f t="shared" si="12"/>
        <v>1500000</v>
      </c>
    </row>
    <row r="807" spans="1:6" ht="15.75">
      <c r="A807" s="28" t="s">
        <v>17</v>
      </c>
      <c r="B807" s="18" t="s">
        <v>542</v>
      </c>
      <c r="C807" s="18">
        <v>800</v>
      </c>
      <c r="D807" s="19">
        <f>D808</f>
        <v>0</v>
      </c>
      <c r="E807" s="19">
        <f>E808</f>
        <v>1500000</v>
      </c>
      <c r="F807" s="23">
        <f t="shared" si="12"/>
        <v>1500000</v>
      </c>
    </row>
    <row r="808" spans="1:6" ht="63">
      <c r="A808" s="24" t="s">
        <v>18</v>
      </c>
      <c r="B808" s="18" t="s">
        <v>542</v>
      </c>
      <c r="C808" s="18">
        <v>810</v>
      </c>
      <c r="D808" s="19">
        <v>0</v>
      </c>
      <c r="E808" s="19">
        <v>1500000</v>
      </c>
      <c r="F808" s="23">
        <f t="shared" si="12"/>
        <v>1500000</v>
      </c>
    </row>
    <row r="809" spans="1:6" ht="47.25">
      <c r="A809" s="24" t="s">
        <v>543</v>
      </c>
      <c r="B809" s="18" t="s">
        <v>544</v>
      </c>
      <c r="C809" s="18"/>
      <c r="D809" s="19">
        <f>D810</f>
        <v>0</v>
      </c>
      <c r="E809" s="19">
        <f>E810</f>
        <v>2000000</v>
      </c>
      <c r="F809" s="23">
        <f t="shared" si="12"/>
        <v>2000000</v>
      </c>
    </row>
    <row r="810" spans="1:6" ht="15.75">
      <c r="A810" s="28" t="s">
        <v>17</v>
      </c>
      <c r="B810" s="18" t="s">
        <v>544</v>
      </c>
      <c r="C810" s="18">
        <v>800</v>
      </c>
      <c r="D810" s="19">
        <f>D811</f>
        <v>0</v>
      </c>
      <c r="E810" s="19">
        <f>E811</f>
        <v>2000000</v>
      </c>
      <c r="F810" s="23">
        <f t="shared" si="12"/>
        <v>2000000</v>
      </c>
    </row>
    <row r="811" spans="1:6" ht="63">
      <c r="A811" s="24" t="s">
        <v>18</v>
      </c>
      <c r="B811" s="18" t="s">
        <v>544</v>
      </c>
      <c r="C811" s="18">
        <v>810</v>
      </c>
      <c r="D811" s="19">
        <v>0</v>
      </c>
      <c r="E811" s="19">
        <v>2000000</v>
      </c>
      <c r="F811" s="23">
        <f t="shared" si="12"/>
        <v>2000000</v>
      </c>
    </row>
    <row r="812" spans="1:6" ht="63">
      <c r="A812" s="24" t="s">
        <v>545</v>
      </c>
      <c r="B812" s="18" t="s">
        <v>546</v>
      </c>
      <c r="C812" s="18"/>
      <c r="D812" s="19">
        <f>D813</f>
        <v>0</v>
      </c>
      <c r="E812" s="19">
        <f>E813</f>
        <v>107500</v>
      </c>
      <c r="F812" s="23">
        <f t="shared" si="12"/>
        <v>107500</v>
      </c>
    </row>
    <row r="813" spans="1:6" ht="31.5">
      <c r="A813" s="28" t="s">
        <v>547</v>
      </c>
      <c r="B813" s="18" t="s">
        <v>546</v>
      </c>
      <c r="C813" s="38" t="s">
        <v>109</v>
      </c>
      <c r="D813" s="19">
        <f>D814</f>
        <v>0</v>
      </c>
      <c r="E813" s="19">
        <f>E814</f>
        <v>107500</v>
      </c>
      <c r="F813" s="23">
        <f t="shared" si="12"/>
        <v>107500</v>
      </c>
    </row>
    <row r="814" spans="1:6" ht="31.5">
      <c r="A814" s="28" t="s">
        <v>28</v>
      </c>
      <c r="B814" s="18" t="s">
        <v>546</v>
      </c>
      <c r="C814" s="38" t="s">
        <v>110</v>
      </c>
      <c r="D814" s="19">
        <v>0</v>
      </c>
      <c r="E814" s="19">
        <v>107500</v>
      </c>
      <c r="F814" s="23">
        <f t="shared" si="12"/>
        <v>107500</v>
      </c>
    </row>
    <row r="815" spans="1:6" ht="47.25">
      <c r="A815" s="28" t="s">
        <v>548</v>
      </c>
      <c r="B815" s="18" t="s">
        <v>549</v>
      </c>
      <c r="C815" s="38"/>
      <c r="D815" s="19">
        <f>D816</f>
        <v>0</v>
      </c>
      <c r="E815" s="19">
        <f>E816</f>
        <v>1796000</v>
      </c>
      <c r="F815" s="23">
        <f t="shared" si="12"/>
        <v>1796000</v>
      </c>
    </row>
    <row r="816" spans="1:6" ht="15.75">
      <c r="A816" s="28" t="s">
        <v>17</v>
      </c>
      <c r="B816" s="18" t="s">
        <v>549</v>
      </c>
      <c r="C816" s="18">
        <v>800</v>
      </c>
      <c r="D816" s="19">
        <f>D817</f>
        <v>0</v>
      </c>
      <c r="E816" s="19">
        <f>E817</f>
        <v>1796000</v>
      </c>
      <c r="F816" s="23">
        <f t="shared" si="12"/>
        <v>1796000</v>
      </c>
    </row>
    <row r="817" spans="1:6" ht="63">
      <c r="A817" s="24" t="s">
        <v>18</v>
      </c>
      <c r="B817" s="18" t="s">
        <v>549</v>
      </c>
      <c r="C817" s="18">
        <v>810</v>
      </c>
      <c r="D817" s="19">
        <v>0</v>
      </c>
      <c r="E817" s="19">
        <v>1796000</v>
      </c>
      <c r="F817" s="23">
        <f t="shared" si="12"/>
        <v>1796000</v>
      </c>
    </row>
    <row r="818" spans="1:6" ht="63">
      <c r="A818" s="24" t="s">
        <v>550</v>
      </c>
      <c r="B818" s="18" t="s">
        <v>551</v>
      </c>
      <c r="C818" s="18"/>
      <c r="D818" s="19">
        <f>D819</f>
        <v>0</v>
      </c>
      <c r="E818" s="19">
        <f>E819</f>
        <v>1724950</v>
      </c>
      <c r="F818" s="23">
        <f t="shared" si="12"/>
        <v>1724950</v>
      </c>
    </row>
    <row r="819" spans="1:6" ht="31.5">
      <c r="A819" s="28" t="s">
        <v>547</v>
      </c>
      <c r="B819" s="18" t="s">
        <v>551</v>
      </c>
      <c r="C819" s="18">
        <v>200</v>
      </c>
      <c r="D819" s="19">
        <f>D820</f>
        <v>0</v>
      </c>
      <c r="E819" s="19">
        <f>E820</f>
        <v>1724950</v>
      </c>
      <c r="F819" s="23">
        <f t="shared" si="12"/>
        <v>1724950</v>
      </c>
    </row>
    <row r="820" spans="1:6" ht="31.5">
      <c r="A820" s="28" t="s">
        <v>28</v>
      </c>
      <c r="B820" s="18" t="s">
        <v>551</v>
      </c>
      <c r="C820" s="18">
        <v>240</v>
      </c>
      <c r="D820" s="19"/>
      <c r="E820" s="19">
        <v>1724950</v>
      </c>
      <c r="F820" s="23">
        <f t="shared" si="12"/>
        <v>1724950</v>
      </c>
    </row>
    <row r="821" spans="1:6" ht="47.25">
      <c r="A821" s="24" t="s">
        <v>552</v>
      </c>
      <c r="B821" s="18" t="s">
        <v>553</v>
      </c>
      <c r="C821" s="38"/>
      <c r="D821" s="19">
        <f>SUM(D846,D849,D852,D861,D864,D867,D822,D826,D829,D832,D835,D843,D840,D855,D858)</f>
        <v>62178594.2</v>
      </c>
      <c r="E821" s="19">
        <f>SUM(E846,E849,E852,E861,E864,E867,E822,E826,E829,E832,E835,E843,E840,E855,E858)</f>
        <v>95291724.85</v>
      </c>
      <c r="F821" s="20">
        <f t="shared" si="12"/>
        <v>157470319.05</v>
      </c>
    </row>
    <row r="822" spans="1:6" ht="47.25">
      <c r="A822" s="24" t="s">
        <v>554</v>
      </c>
      <c r="B822" s="18" t="s">
        <v>555</v>
      </c>
      <c r="C822" s="38"/>
      <c r="D822" s="19">
        <f>D823</f>
        <v>0</v>
      </c>
      <c r="E822" s="19">
        <f>E823</f>
        <v>1850000</v>
      </c>
      <c r="F822" s="20">
        <f t="shared" si="12"/>
        <v>1850000</v>
      </c>
    </row>
    <row r="823" spans="1:6" ht="31.5">
      <c r="A823" s="24" t="s">
        <v>14</v>
      </c>
      <c r="B823" s="18" t="s">
        <v>555</v>
      </c>
      <c r="C823" s="38" t="s">
        <v>556</v>
      </c>
      <c r="D823" s="19">
        <f>D824+D825</f>
        <v>0</v>
      </c>
      <c r="E823" s="19">
        <f>E824+E825</f>
        <v>1850000</v>
      </c>
      <c r="F823" s="20">
        <f t="shared" si="12"/>
        <v>1850000</v>
      </c>
    </row>
    <row r="824" spans="1:6" ht="15.75">
      <c r="A824" s="24" t="s">
        <v>15</v>
      </c>
      <c r="B824" s="18" t="s">
        <v>555</v>
      </c>
      <c r="C824" s="38" t="s">
        <v>557</v>
      </c>
      <c r="D824" s="19">
        <v>0</v>
      </c>
      <c r="E824" s="22">
        <v>1720000</v>
      </c>
      <c r="F824" s="20">
        <f t="shared" si="12"/>
        <v>1720000</v>
      </c>
    </row>
    <row r="825" spans="1:6" ht="15.75">
      <c r="A825" s="24" t="s">
        <v>83</v>
      </c>
      <c r="B825" s="18" t="s">
        <v>555</v>
      </c>
      <c r="C825" s="38" t="s">
        <v>558</v>
      </c>
      <c r="D825" s="19">
        <v>0</v>
      </c>
      <c r="E825" s="22">
        <v>130000</v>
      </c>
      <c r="F825" s="20">
        <f t="shared" si="12"/>
        <v>130000</v>
      </c>
    </row>
    <row r="826" spans="1:6" ht="63">
      <c r="A826" s="24" t="s">
        <v>559</v>
      </c>
      <c r="B826" s="18" t="s">
        <v>560</v>
      </c>
      <c r="C826" s="38"/>
      <c r="D826" s="19">
        <f>D827</f>
        <v>0</v>
      </c>
      <c r="E826" s="20">
        <f>E827</f>
        <v>6300000</v>
      </c>
      <c r="F826" s="20">
        <f t="shared" si="12"/>
        <v>6300000</v>
      </c>
    </row>
    <row r="827" spans="1:6" ht="31.5">
      <c r="A827" s="28" t="s">
        <v>547</v>
      </c>
      <c r="B827" s="18" t="s">
        <v>560</v>
      </c>
      <c r="C827" s="38" t="s">
        <v>109</v>
      </c>
      <c r="D827" s="19">
        <f>D828</f>
        <v>0</v>
      </c>
      <c r="E827" s="20">
        <f>E828</f>
        <v>6300000</v>
      </c>
      <c r="F827" s="20">
        <f t="shared" si="12"/>
        <v>6300000</v>
      </c>
    </row>
    <row r="828" spans="1:6" ht="31.5">
      <c r="A828" s="28" t="s">
        <v>28</v>
      </c>
      <c r="B828" s="18" t="s">
        <v>560</v>
      </c>
      <c r="C828" s="38" t="s">
        <v>110</v>
      </c>
      <c r="D828" s="19">
        <v>0</v>
      </c>
      <c r="E828" s="20">
        <v>6300000</v>
      </c>
      <c r="F828" s="20">
        <f t="shared" si="12"/>
        <v>6300000</v>
      </c>
    </row>
    <row r="829" spans="1:6" ht="47.25">
      <c r="A829" s="28" t="s">
        <v>561</v>
      </c>
      <c r="B829" s="18" t="s">
        <v>562</v>
      </c>
      <c r="C829" s="38"/>
      <c r="D829" s="19">
        <f>D830</f>
        <v>0</v>
      </c>
      <c r="E829" s="19">
        <f>E830</f>
        <v>52349091.56999999</v>
      </c>
      <c r="F829" s="20">
        <f t="shared" si="12"/>
        <v>52349091.56999999</v>
      </c>
    </row>
    <row r="830" spans="1:6" ht="31.5">
      <c r="A830" s="24" t="s">
        <v>14</v>
      </c>
      <c r="B830" s="18" t="s">
        <v>562</v>
      </c>
      <c r="C830" s="38" t="s">
        <v>556</v>
      </c>
      <c r="D830" s="19">
        <f>D831</f>
        <v>0</v>
      </c>
      <c r="E830" s="20">
        <f>E831</f>
        <v>52349091.56999999</v>
      </c>
      <c r="F830" s="20">
        <f t="shared" si="12"/>
        <v>52349091.56999999</v>
      </c>
    </row>
    <row r="831" spans="1:6" ht="15.75">
      <c r="A831" s="24" t="s">
        <v>15</v>
      </c>
      <c r="B831" s="18" t="s">
        <v>562</v>
      </c>
      <c r="C831" s="38" t="s">
        <v>557</v>
      </c>
      <c r="D831" s="19">
        <v>0</v>
      </c>
      <c r="E831" s="22">
        <f>5585835.96+8589457.66+9539417.28+7868091.15+5172479.2+4746370.15+4223425.58+6624014.59</f>
        <v>52349091.56999999</v>
      </c>
      <c r="F831" s="20">
        <f t="shared" si="12"/>
        <v>52349091.56999999</v>
      </c>
    </row>
    <row r="832" spans="1:6" ht="94.5">
      <c r="A832" s="24" t="s">
        <v>563</v>
      </c>
      <c r="B832" s="18" t="s">
        <v>564</v>
      </c>
      <c r="C832" s="38"/>
      <c r="D832" s="19">
        <f>D833</f>
        <v>0</v>
      </c>
      <c r="E832" s="22">
        <f>E833</f>
        <v>2934978.48</v>
      </c>
      <c r="F832" s="20">
        <f t="shared" si="12"/>
        <v>2934978.48</v>
      </c>
    </row>
    <row r="833" spans="1:6" ht="31.5">
      <c r="A833" s="24" t="s">
        <v>14</v>
      </c>
      <c r="B833" s="18" t="s">
        <v>564</v>
      </c>
      <c r="C833" s="38" t="s">
        <v>556</v>
      </c>
      <c r="D833" s="19">
        <f>D834</f>
        <v>0</v>
      </c>
      <c r="E833" s="22">
        <f>E834</f>
        <v>2934978.48</v>
      </c>
      <c r="F833" s="20">
        <f t="shared" si="12"/>
        <v>2934978.48</v>
      </c>
    </row>
    <row r="834" spans="1:6" ht="15.75">
      <c r="A834" s="24" t="s">
        <v>15</v>
      </c>
      <c r="B834" s="18" t="s">
        <v>564</v>
      </c>
      <c r="C834" s="38" t="s">
        <v>557</v>
      </c>
      <c r="D834" s="19">
        <v>0</v>
      </c>
      <c r="E834" s="22">
        <f>460000+139288+690484+192691.62+329436.36+733744.62+389333.88</f>
        <v>2934978.48</v>
      </c>
      <c r="F834" s="20">
        <f t="shared" si="12"/>
        <v>2934978.48</v>
      </c>
    </row>
    <row r="835" spans="1:6" ht="63">
      <c r="A835" s="24" t="s">
        <v>565</v>
      </c>
      <c r="B835" s="18" t="s">
        <v>566</v>
      </c>
      <c r="C835" s="18"/>
      <c r="D835" s="22">
        <f>SUM(D836,D838)</f>
        <v>0</v>
      </c>
      <c r="E835" s="22">
        <f>SUM(E836,E838)</f>
        <v>218389</v>
      </c>
      <c r="F835" s="23">
        <f t="shared" si="12"/>
        <v>218389</v>
      </c>
    </row>
    <row r="836" spans="1:6" ht="78.75">
      <c r="A836" s="37" t="s">
        <v>105</v>
      </c>
      <c r="B836" s="18" t="s">
        <v>566</v>
      </c>
      <c r="C836" s="18">
        <v>100</v>
      </c>
      <c r="D836" s="22">
        <f>D837</f>
        <v>0</v>
      </c>
      <c r="E836" s="22">
        <f>E837</f>
        <v>114943</v>
      </c>
      <c r="F836" s="23">
        <f t="shared" si="12"/>
        <v>114943</v>
      </c>
    </row>
    <row r="837" spans="1:6" ht="31.5">
      <c r="A837" s="37" t="s">
        <v>107</v>
      </c>
      <c r="B837" s="18" t="s">
        <v>566</v>
      </c>
      <c r="C837" s="18">
        <v>120</v>
      </c>
      <c r="D837" s="22"/>
      <c r="E837" s="22">
        <v>114943</v>
      </c>
      <c r="F837" s="23">
        <f t="shared" si="12"/>
        <v>114943</v>
      </c>
    </row>
    <row r="838" spans="1:6" ht="15.75">
      <c r="A838" s="24" t="s">
        <v>29</v>
      </c>
      <c r="B838" s="18" t="s">
        <v>566</v>
      </c>
      <c r="C838" s="18">
        <v>300</v>
      </c>
      <c r="D838" s="22">
        <f>D839</f>
        <v>0</v>
      </c>
      <c r="E838" s="22">
        <f>E839</f>
        <v>103446</v>
      </c>
      <c r="F838" s="23">
        <f t="shared" si="12"/>
        <v>103446</v>
      </c>
    </row>
    <row r="839" spans="1:6" ht="15.75">
      <c r="A839" s="24" t="s">
        <v>567</v>
      </c>
      <c r="B839" s="18" t="s">
        <v>566</v>
      </c>
      <c r="C839" s="18">
        <v>350</v>
      </c>
      <c r="D839" s="22">
        <v>0</v>
      </c>
      <c r="E839" s="22">
        <v>103446</v>
      </c>
      <c r="F839" s="23">
        <f t="shared" si="12"/>
        <v>103446</v>
      </c>
    </row>
    <row r="840" spans="1:6" ht="63">
      <c r="A840" s="24" t="s">
        <v>568</v>
      </c>
      <c r="B840" s="18" t="s">
        <v>569</v>
      </c>
      <c r="C840" s="18"/>
      <c r="D840" s="25">
        <f>D841</f>
        <v>0</v>
      </c>
      <c r="E840" s="25">
        <f>E841</f>
        <v>315000</v>
      </c>
      <c r="F840" s="23">
        <f aca="true" t="shared" si="13" ref="F840:F903">SUM(D840:E840)</f>
        <v>315000</v>
      </c>
    </row>
    <row r="841" spans="1:6" ht="15.75">
      <c r="A841" s="60" t="s">
        <v>17</v>
      </c>
      <c r="B841" s="18" t="s">
        <v>569</v>
      </c>
      <c r="C841" s="18">
        <v>800</v>
      </c>
      <c r="D841" s="25">
        <f>D842</f>
        <v>0</v>
      </c>
      <c r="E841" s="25">
        <f>E842</f>
        <v>315000</v>
      </c>
      <c r="F841" s="23">
        <f t="shared" si="13"/>
        <v>315000</v>
      </c>
    </row>
    <row r="842" spans="1:6" ht="15.75">
      <c r="A842" s="60" t="s">
        <v>310</v>
      </c>
      <c r="B842" s="18" t="s">
        <v>569</v>
      </c>
      <c r="C842" s="18">
        <v>880</v>
      </c>
      <c r="D842" s="25">
        <v>0</v>
      </c>
      <c r="E842" s="25">
        <v>315000</v>
      </c>
      <c r="F842" s="23">
        <f t="shared" si="13"/>
        <v>315000</v>
      </c>
    </row>
    <row r="843" spans="1:6" ht="63">
      <c r="A843" s="24" t="s">
        <v>570</v>
      </c>
      <c r="B843" s="18" t="s">
        <v>571</v>
      </c>
      <c r="C843" s="18"/>
      <c r="D843" s="25">
        <f>D844</f>
        <v>0</v>
      </c>
      <c r="E843" s="22">
        <f>E844</f>
        <v>500000</v>
      </c>
      <c r="F843" s="23">
        <f t="shared" si="13"/>
        <v>500000</v>
      </c>
    </row>
    <row r="844" spans="1:6" ht="31.5">
      <c r="A844" s="28" t="s">
        <v>547</v>
      </c>
      <c r="B844" s="18" t="s">
        <v>571</v>
      </c>
      <c r="C844" s="38" t="s">
        <v>109</v>
      </c>
      <c r="D844" s="25">
        <f>D845</f>
        <v>0</v>
      </c>
      <c r="E844" s="22">
        <f>E845</f>
        <v>500000</v>
      </c>
      <c r="F844" s="23">
        <f t="shared" si="13"/>
        <v>500000</v>
      </c>
    </row>
    <row r="845" spans="1:6" ht="31.5">
      <c r="A845" s="28" t="s">
        <v>28</v>
      </c>
      <c r="B845" s="18" t="s">
        <v>571</v>
      </c>
      <c r="C845" s="38" t="s">
        <v>110</v>
      </c>
      <c r="D845" s="25">
        <v>0</v>
      </c>
      <c r="E845" s="22">
        <v>500000</v>
      </c>
      <c r="F845" s="23">
        <f t="shared" si="13"/>
        <v>500000</v>
      </c>
    </row>
    <row r="846" spans="1:6" ht="63">
      <c r="A846" s="24" t="s">
        <v>572</v>
      </c>
      <c r="B846" s="18" t="s">
        <v>573</v>
      </c>
      <c r="C846" s="18"/>
      <c r="D846" s="19">
        <f>D847</f>
        <v>28755</v>
      </c>
      <c r="E846" s="20">
        <f>E847</f>
        <v>0</v>
      </c>
      <c r="F846" s="20">
        <f t="shared" si="13"/>
        <v>28755</v>
      </c>
    </row>
    <row r="847" spans="1:6" ht="31.5">
      <c r="A847" s="28" t="s">
        <v>27</v>
      </c>
      <c r="B847" s="18" t="s">
        <v>573</v>
      </c>
      <c r="C847" s="18">
        <v>200</v>
      </c>
      <c r="D847" s="19">
        <f>D848</f>
        <v>28755</v>
      </c>
      <c r="E847" s="20">
        <f>E848</f>
        <v>0</v>
      </c>
      <c r="F847" s="20">
        <f t="shared" si="13"/>
        <v>28755</v>
      </c>
    </row>
    <row r="848" spans="1:6" ht="31.5">
      <c r="A848" s="28" t="s">
        <v>28</v>
      </c>
      <c r="B848" s="18" t="s">
        <v>573</v>
      </c>
      <c r="C848" s="18">
        <v>240</v>
      </c>
      <c r="D848" s="19">
        <v>28755</v>
      </c>
      <c r="E848" s="26">
        <v>0</v>
      </c>
      <c r="F848" s="20">
        <f t="shared" si="13"/>
        <v>28755</v>
      </c>
    </row>
    <row r="849" spans="1:6" ht="47.25">
      <c r="A849" s="24" t="s">
        <v>574</v>
      </c>
      <c r="B849" s="18" t="s">
        <v>575</v>
      </c>
      <c r="C849" s="38"/>
      <c r="D849" s="19">
        <f>D850</f>
        <v>59683945</v>
      </c>
      <c r="E849" s="20">
        <f>E850</f>
        <v>1499544</v>
      </c>
      <c r="F849" s="20">
        <f t="shared" si="13"/>
        <v>61183489</v>
      </c>
    </row>
    <row r="850" spans="1:6" ht="31.5">
      <c r="A850" s="24" t="s">
        <v>14</v>
      </c>
      <c r="B850" s="18" t="s">
        <v>575</v>
      </c>
      <c r="C850" s="38" t="s">
        <v>556</v>
      </c>
      <c r="D850" s="19">
        <f>D851</f>
        <v>59683945</v>
      </c>
      <c r="E850" s="20">
        <f>E851</f>
        <v>1499544</v>
      </c>
      <c r="F850" s="20">
        <f t="shared" si="13"/>
        <v>61183489</v>
      </c>
    </row>
    <row r="851" spans="1:6" ht="15.75">
      <c r="A851" s="24" t="s">
        <v>15</v>
      </c>
      <c r="B851" s="18" t="s">
        <v>575</v>
      </c>
      <c r="C851" s="38" t="s">
        <v>557</v>
      </c>
      <c r="D851" s="25">
        <v>59683945</v>
      </c>
      <c r="E851" s="26">
        <v>1499544</v>
      </c>
      <c r="F851" s="20">
        <f t="shared" si="13"/>
        <v>61183489</v>
      </c>
    </row>
    <row r="852" spans="1:6" ht="63">
      <c r="A852" s="24" t="s">
        <v>576</v>
      </c>
      <c r="B852" s="18" t="s">
        <v>577</v>
      </c>
      <c r="C852" s="38"/>
      <c r="D852" s="19">
        <f>D853</f>
        <v>9738</v>
      </c>
      <c r="E852" s="20">
        <f>E853</f>
        <v>0</v>
      </c>
      <c r="F852" s="20">
        <f t="shared" si="13"/>
        <v>9738</v>
      </c>
    </row>
    <row r="853" spans="1:6" ht="31.5">
      <c r="A853" s="28" t="s">
        <v>547</v>
      </c>
      <c r="B853" s="18" t="s">
        <v>577</v>
      </c>
      <c r="C853" s="38" t="s">
        <v>109</v>
      </c>
      <c r="D853" s="19">
        <f>D854</f>
        <v>9738</v>
      </c>
      <c r="E853" s="20">
        <f>E854</f>
        <v>0</v>
      </c>
      <c r="F853" s="20">
        <f t="shared" si="13"/>
        <v>9738</v>
      </c>
    </row>
    <row r="854" spans="1:6" ht="31.5">
      <c r="A854" s="28" t="s">
        <v>28</v>
      </c>
      <c r="B854" s="18" t="s">
        <v>577</v>
      </c>
      <c r="C854" s="38" t="s">
        <v>110</v>
      </c>
      <c r="D854" s="19">
        <v>9738</v>
      </c>
      <c r="E854" s="26">
        <v>0</v>
      </c>
      <c r="F854" s="20">
        <f t="shared" si="13"/>
        <v>9738</v>
      </c>
    </row>
    <row r="855" spans="1:6" ht="47.25">
      <c r="A855" s="28" t="s">
        <v>578</v>
      </c>
      <c r="B855" s="18" t="s">
        <v>579</v>
      </c>
      <c r="C855" s="38"/>
      <c r="D855" s="19">
        <f>D856</f>
        <v>0</v>
      </c>
      <c r="E855" s="19">
        <f>E856</f>
        <v>1200000</v>
      </c>
      <c r="F855" s="20">
        <f t="shared" si="13"/>
        <v>1200000</v>
      </c>
    </row>
    <row r="856" spans="1:6" ht="31.5">
      <c r="A856" s="28" t="s">
        <v>547</v>
      </c>
      <c r="B856" s="18" t="s">
        <v>579</v>
      </c>
      <c r="C856" s="38" t="s">
        <v>109</v>
      </c>
      <c r="D856" s="19">
        <f>D857</f>
        <v>0</v>
      </c>
      <c r="E856" s="19">
        <f>E857</f>
        <v>1200000</v>
      </c>
      <c r="F856" s="20">
        <f t="shared" si="13"/>
        <v>1200000</v>
      </c>
    </row>
    <row r="857" spans="1:6" ht="31.5">
      <c r="A857" s="28" t="s">
        <v>28</v>
      </c>
      <c r="B857" s="18" t="s">
        <v>579</v>
      </c>
      <c r="C857" s="38" t="s">
        <v>110</v>
      </c>
      <c r="D857" s="19">
        <v>0</v>
      </c>
      <c r="E857" s="19">
        <v>1200000</v>
      </c>
      <c r="F857" s="20">
        <f t="shared" si="13"/>
        <v>1200000</v>
      </c>
    </row>
    <row r="858" spans="1:6" ht="63">
      <c r="A858" s="28" t="s">
        <v>580</v>
      </c>
      <c r="B858" s="18" t="s">
        <v>581</v>
      </c>
      <c r="C858" s="38"/>
      <c r="D858" s="19">
        <f>D859</f>
        <v>0</v>
      </c>
      <c r="E858" s="19">
        <f>E859</f>
        <v>28800000</v>
      </c>
      <c r="F858" s="20">
        <f t="shared" si="13"/>
        <v>28800000</v>
      </c>
    </row>
    <row r="859" spans="1:6" ht="31.5">
      <c r="A859" s="28" t="s">
        <v>547</v>
      </c>
      <c r="B859" s="18" t="s">
        <v>581</v>
      </c>
      <c r="C859" s="38" t="s">
        <v>109</v>
      </c>
      <c r="D859" s="19">
        <f>D860</f>
        <v>0</v>
      </c>
      <c r="E859" s="19">
        <f>E860</f>
        <v>28800000</v>
      </c>
      <c r="F859" s="20">
        <f t="shared" si="13"/>
        <v>28800000</v>
      </c>
    </row>
    <row r="860" spans="1:6" ht="31.5">
      <c r="A860" s="28" t="s">
        <v>28</v>
      </c>
      <c r="B860" s="18" t="s">
        <v>581</v>
      </c>
      <c r="C860" s="38" t="s">
        <v>110</v>
      </c>
      <c r="D860" s="19">
        <v>0</v>
      </c>
      <c r="E860" s="19">
        <v>28800000</v>
      </c>
      <c r="F860" s="20">
        <f t="shared" si="13"/>
        <v>28800000</v>
      </c>
    </row>
    <row r="861" spans="1:6" ht="47.25">
      <c r="A861" s="24" t="s">
        <v>582</v>
      </c>
      <c r="B861" s="18" t="s">
        <v>583</v>
      </c>
      <c r="C861" s="38"/>
      <c r="D861" s="19">
        <f>D862</f>
        <v>675278.2</v>
      </c>
      <c r="E861" s="20">
        <f>E862</f>
        <v>-675278.2</v>
      </c>
      <c r="F861" s="20">
        <f t="shared" si="13"/>
        <v>0</v>
      </c>
    </row>
    <row r="862" spans="1:6" ht="31.5">
      <c r="A862" s="28" t="s">
        <v>27</v>
      </c>
      <c r="B862" s="18" t="s">
        <v>583</v>
      </c>
      <c r="C862" s="38" t="s">
        <v>109</v>
      </c>
      <c r="D862" s="19">
        <f>D863</f>
        <v>675278.2</v>
      </c>
      <c r="E862" s="20">
        <f>E863</f>
        <v>-675278.2</v>
      </c>
      <c r="F862" s="20">
        <f t="shared" si="13"/>
        <v>0</v>
      </c>
    </row>
    <row r="863" spans="1:6" ht="31.5">
      <c r="A863" s="24" t="s">
        <v>28</v>
      </c>
      <c r="B863" s="18" t="s">
        <v>583</v>
      </c>
      <c r="C863" s="38" t="s">
        <v>110</v>
      </c>
      <c r="D863" s="19">
        <v>675278.2</v>
      </c>
      <c r="E863" s="26">
        <f>1194723.1-1870001.3</f>
        <v>-675278.2</v>
      </c>
      <c r="F863" s="20">
        <f t="shared" si="13"/>
        <v>0</v>
      </c>
    </row>
    <row r="864" spans="1:6" ht="63">
      <c r="A864" s="24" t="s">
        <v>584</v>
      </c>
      <c r="B864" s="18" t="s">
        <v>585</v>
      </c>
      <c r="C864" s="18"/>
      <c r="D864" s="19">
        <f>D865</f>
        <v>1352909</v>
      </c>
      <c r="E864" s="20">
        <f>E865</f>
        <v>0</v>
      </c>
      <c r="F864" s="20">
        <f t="shared" si="13"/>
        <v>1352909</v>
      </c>
    </row>
    <row r="865" spans="1:6" ht="31.5">
      <c r="A865" s="28" t="s">
        <v>27</v>
      </c>
      <c r="B865" s="18" t="s">
        <v>585</v>
      </c>
      <c r="C865" s="18">
        <v>200</v>
      </c>
      <c r="D865" s="19">
        <f>D866</f>
        <v>1352909</v>
      </c>
      <c r="E865" s="20">
        <f>E866</f>
        <v>0</v>
      </c>
      <c r="F865" s="20">
        <f t="shared" si="13"/>
        <v>1352909</v>
      </c>
    </row>
    <row r="866" spans="1:6" ht="31.5">
      <c r="A866" s="24" t="s">
        <v>28</v>
      </c>
      <c r="B866" s="18" t="s">
        <v>585</v>
      </c>
      <c r="C866" s="18">
        <v>240</v>
      </c>
      <c r="D866" s="19">
        <v>1352909</v>
      </c>
      <c r="E866" s="26">
        <v>0</v>
      </c>
      <c r="F866" s="20">
        <f t="shared" si="13"/>
        <v>1352909</v>
      </c>
    </row>
    <row r="867" spans="1:6" ht="47.25">
      <c r="A867" s="28" t="s">
        <v>586</v>
      </c>
      <c r="B867" s="18" t="s">
        <v>587</v>
      </c>
      <c r="C867" s="18"/>
      <c r="D867" s="19">
        <f>D868</f>
        <v>427969</v>
      </c>
      <c r="E867" s="20">
        <f>E868</f>
        <v>0</v>
      </c>
      <c r="F867" s="20">
        <f t="shared" si="13"/>
        <v>427969</v>
      </c>
    </row>
    <row r="868" spans="1:6" ht="31.5">
      <c r="A868" s="28" t="s">
        <v>27</v>
      </c>
      <c r="B868" s="18" t="s">
        <v>587</v>
      </c>
      <c r="C868" s="18">
        <v>200</v>
      </c>
      <c r="D868" s="19">
        <f>D869</f>
        <v>427969</v>
      </c>
      <c r="E868" s="20">
        <f>E869</f>
        <v>0</v>
      </c>
      <c r="F868" s="20">
        <f t="shared" si="13"/>
        <v>427969</v>
      </c>
    </row>
    <row r="869" spans="1:6" ht="31.5">
      <c r="A869" s="28" t="s">
        <v>28</v>
      </c>
      <c r="B869" s="18" t="s">
        <v>587</v>
      </c>
      <c r="C869" s="18">
        <v>240</v>
      </c>
      <c r="D869" s="19">
        <v>427969</v>
      </c>
      <c r="E869" s="26">
        <v>0</v>
      </c>
      <c r="F869" s="20">
        <f t="shared" si="13"/>
        <v>427969</v>
      </c>
    </row>
    <row r="870" spans="1:6" ht="47.25">
      <c r="A870" s="28" t="s">
        <v>588</v>
      </c>
      <c r="B870" s="18" t="s">
        <v>589</v>
      </c>
      <c r="C870" s="18"/>
      <c r="D870" s="19">
        <f>SUM(D871)</f>
        <v>36299382.42</v>
      </c>
      <c r="E870" s="20">
        <f>SUM(E871)</f>
        <v>141341.58</v>
      </c>
      <c r="F870" s="20">
        <f t="shared" si="13"/>
        <v>36440724</v>
      </c>
    </row>
    <row r="871" spans="1:6" ht="47.25">
      <c r="A871" s="28" t="s">
        <v>590</v>
      </c>
      <c r="B871" s="18" t="s">
        <v>591</v>
      </c>
      <c r="C871" s="18"/>
      <c r="D871" s="19">
        <f>D872</f>
        <v>36299382.42</v>
      </c>
      <c r="E871" s="20">
        <f>E872</f>
        <v>141341.58</v>
      </c>
      <c r="F871" s="20">
        <f t="shared" si="13"/>
        <v>36440724</v>
      </c>
    </row>
    <row r="872" spans="1:6" ht="15.75">
      <c r="A872" s="28" t="s">
        <v>592</v>
      </c>
      <c r="B872" s="18" t="s">
        <v>591</v>
      </c>
      <c r="C872" s="18">
        <v>500</v>
      </c>
      <c r="D872" s="19">
        <f>D873</f>
        <v>36299382.42</v>
      </c>
      <c r="E872" s="20">
        <f>E873</f>
        <v>141341.58</v>
      </c>
      <c r="F872" s="20">
        <f t="shared" si="13"/>
        <v>36440724</v>
      </c>
    </row>
    <row r="873" spans="1:6" ht="15.75">
      <c r="A873" s="28" t="s">
        <v>593</v>
      </c>
      <c r="B873" s="18" t="s">
        <v>591</v>
      </c>
      <c r="C873" s="18">
        <v>540</v>
      </c>
      <c r="D873" s="19">
        <v>36299382.42</v>
      </c>
      <c r="E873" s="26">
        <f>141342-0.42</f>
        <v>141341.58</v>
      </c>
      <c r="F873" s="20">
        <f t="shared" si="13"/>
        <v>36440724</v>
      </c>
    </row>
    <row r="874" spans="1:6" ht="15.75">
      <c r="A874" s="24" t="s">
        <v>594</v>
      </c>
      <c r="B874" s="18" t="s">
        <v>595</v>
      </c>
      <c r="C874" s="18"/>
      <c r="D874" s="19">
        <f>SUM(D875,D883,D886,D889,D892,D880,D895,D898)</f>
        <v>37900000</v>
      </c>
      <c r="E874" s="19">
        <f>SUM(E875,E883,E886,E889,E892,E880,E895,E898)</f>
        <v>-627805</v>
      </c>
      <c r="F874" s="20">
        <f t="shared" si="13"/>
        <v>37272195</v>
      </c>
    </row>
    <row r="875" spans="1:6" ht="63">
      <c r="A875" s="24" t="s">
        <v>596</v>
      </c>
      <c r="B875" s="18" t="s">
        <v>597</v>
      </c>
      <c r="C875" s="18"/>
      <c r="D875" s="19">
        <f>D876+D878</f>
        <v>6300000</v>
      </c>
      <c r="E875" s="20">
        <f>E876+E878</f>
        <v>0</v>
      </c>
      <c r="F875" s="20">
        <f t="shared" si="13"/>
        <v>6300000</v>
      </c>
    </row>
    <row r="876" spans="1:6" ht="31.5">
      <c r="A876" s="24" t="s">
        <v>14</v>
      </c>
      <c r="B876" s="18" t="s">
        <v>597</v>
      </c>
      <c r="C876" s="38" t="s">
        <v>556</v>
      </c>
      <c r="D876" s="19">
        <f>D877</f>
        <v>5100000</v>
      </c>
      <c r="E876" s="20">
        <f>E877</f>
        <v>0</v>
      </c>
      <c r="F876" s="20">
        <f t="shared" si="13"/>
        <v>5100000</v>
      </c>
    </row>
    <row r="877" spans="1:6" ht="15.75">
      <c r="A877" s="24" t="s">
        <v>15</v>
      </c>
      <c r="B877" s="18" t="s">
        <v>597</v>
      </c>
      <c r="C877" s="38" t="s">
        <v>557</v>
      </c>
      <c r="D877" s="19">
        <v>5100000</v>
      </c>
      <c r="E877" s="26">
        <v>0</v>
      </c>
      <c r="F877" s="20">
        <f t="shared" si="13"/>
        <v>5100000</v>
      </c>
    </row>
    <row r="878" spans="1:6" ht="15.75">
      <c r="A878" s="24" t="s">
        <v>17</v>
      </c>
      <c r="B878" s="18" t="s">
        <v>597</v>
      </c>
      <c r="C878" s="38" t="s">
        <v>111</v>
      </c>
      <c r="D878" s="19">
        <f>D879</f>
        <v>1200000</v>
      </c>
      <c r="E878" s="20">
        <f>E879</f>
        <v>0</v>
      </c>
      <c r="F878" s="20">
        <f t="shared" si="13"/>
        <v>1200000</v>
      </c>
    </row>
    <row r="879" spans="1:6" ht="15.75">
      <c r="A879" s="24" t="s">
        <v>310</v>
      </c>
      <c r="B879" s="18" t="s">
        <v>597</v>
      </c>
      <c r="C879" s="38" t="s">
        <v>598</v>
      </c>
      <c r="D879" s="19">
        <v>1200000</v>
      </c>
      <c r="E879" s="26">
        <v>0</v>
      </c>
      <c r="F879" s="20">
        <f t="shared" si="13"/>
        <v>1200000</v>
      </c>
    </row>
    <row r="880" spans="1:6" ht="94.5">
      <c r="A880" s="24" t="s">
        <v>599</v>
      </c>
      <c r="B880" s="18" t="s">
        <v>600</v>
      </c>
      <c r="C880" s="18"/>
      <c r="D880" s="19">
        <f>D881</f>
        <v>27000000</v>
      </c>
      <c r="E880" s="20">
        <f>E881</f>
        <v>0</v>
      </c>
      <c r="F880" s="20">
        <f t="shared" si="13"/>
        <v>27000000</v>
      </c>
    </row>
    <row r="881" spans="1:6" ht="31.5">
      <c r="A881" s="24" t="s">
        <v>14</v>
      </c>
      <c r="B881" s="18" t="s">
        <v>600</v>
      </c>
      <c r="C881" s="18">
        <v>600</v>
      </c>
      <c r="D881" s="19">
        <f>D882</f>
        <v>27000000</v>
      </c>
      <c r="E881" s="20">
        <f>E882</f>
        <v>0</v>
      </c>
      <c r="F881" s="20">
        <f t="shared" si="13"/>
        <v>27000000</v>
      </c>
    </row>
    <row r="882" spans="1:6" ht="15.75">
      <c r="A882" s="24" t="s">
        <v>15</v>
      </c>
      <c r="B882" s="18" t="s">
        <v>600</v>
      </c>
      <c r="C882" s="18">
        <v>610</v>
      </c>
      <c r="D882" s="19">
        <v>27000000</v>
      </c>
      <c r="E882" s="26">
        <v>0</v>
      </c>
      <c r="F882" s="20">
        <f t="shared" si="13"/>
        <v>27000000</v>
      </c>
    </row>
    <row r="883" spans="1:6" ht="47.25">
      <c r="A883" s="24" t="s">
        <v>601</v>
      </c>
      <c r="B883" s="18" t="s">
        <v>602</v>
      </c>
      <c r="C883" s="18"/>
      <c r="D883" s="19">
        <f>D884</f>
        <v>3000000</v>
      </c>
      <c r="E883" s="20">
        <f>E884</f>
        <v>-1051000</v>
      </c>
      <c r="F883" s="20">
        <f t="shared" si="13"/>
        <v>1949000</v>
      </c>
    </row>
    <row r="884" spans="1:6" ht="15.75">
      <c r="A884" s="28" t="s">
        <v>17</v>
      </c>
      <c r="B884" s="18" t="s">
        <v>602</v>
      </c>
      <c r="C884" s="18">
        <v>800</v>
      </c>
      <c r="D884" s="19">
        <f>D885</f>
        <v>3000000</v>
      </c>
      <c r="E884" s="20">
        <f>E885</f>
        <v>-1051000</v>
      </c>
      <c r="F884" s="20">
        <f t="shared" si="13"/>
        <v>1949000</v>
      </c>
    </row>
    <row r="885" spans="1:6" ht="15.75">
      <c r="A885" s="24" t="s">
        <v>310</v>
      </c>
      <c r="B885" s="18" t="s">
        <v>602</v>
      </c>
      <c r="C885" s="18">
        <v>880</v>
      </c>
      <c r="D885" s="19">
        <v>3000000</v>
      </c>
      <c r="E885" s="26">
        <v>-1051000</v>
      </c>
      <c r="F885" s="20">
        <f t="shared" si="13"/>
        <v>1949000</v>
      </c>
    </row>
    <row r="886" spans="1:6" ht="31.5">
      <c r="A886" s="24" t="s">
        <v>603</v>
      </c>
      <c r="B886" s="18" t="s">
        <v>604</v>
      </c>
      <c r="C886" s="18"/>
      <c r="D886" s="19">
        <f>D887</f>
        <v>400000</v>
      </c>
      <c r="E886" s="20">
        <f>E887</f>
        <v>0</v>
      </c>
      <c r="F886" s="20">
        <f t="shared" si="13"/>
        <v>400000</v>
      </c>
    </row>
    <row r="887" spans="1:6" ht="31.5">
      <c r="A887" s="28" t="s">
        <v>27</v>
      </c>
      <c r="B887" s="18" t="s">
        <v>604</v>
      </c>
      <c r="C887" s="18">
        <v>200</v>
      </c>
      <c r="D887" s="19">
        <f>D888</f>
        <v>400000</v>
      </c>
      <c r="E887" s="20">
        <f>E888</f>
        <v>0</v>
      </c>
      <c r="F887" s="20">
        <f t="shared" si="13"/>
        <v>400000</v>
      </c>
    </row>
    <row r="888" spans="1:6" ht="31.5">
      <c r="A888" s="28" t="s">
        <v>28</v>
      </c>
      <c r="B888" s="18" t="s">
        <v>604</v>
      </c>
      <c r="C888" s="18">
        <v>240</v>
      </c>
      <c r="D888" s="19">
        <v>400000</v>
      </c>
      <c r="E888" s="26">
        <v>0</v>
      </c>
      <c r="F888" s="20">
        <f t="shared" si="13"/>
        <v>400000</v>
      </c>
    </row>
    <row r="889" spans="1:6" ht="15.75">
      <c r="A889" s="24" t="s">
        <v>605</v>
      </c>
      <c r="B889" s="18" t="s">
        <v>606</v>
      </c>
      <c r="C889" s="18"/>
      <c r="D889" s="19">
        <f>D890</f>
        <v>1000000</v>
      </c>
      <c r="E889" s="20">
        <f>E890</f>
        <v>-99453</v>
      </c>
      <c r="F889" s="20">
        <f t="shared" si="13"/>
        <v>900547</v>
      </c>
    </row>
    <row r="890" spans="1:6" ht="15.75">
      <c r="A890" s="28" t="s">
        <v>17</v>
      </c>
      <c r="B890" s="18" t="s">
        <v>606</v>
      </c>
      <c r="C890" s="18">
        <v>800</v>
      </c>
      <c r="D890" s="19">
        <f>D891</f>
        <v>1000000</v>
      </c>
      <c r="E890" s="20">
        <f>E891</f>
        <v>-99453</v>
      </c>
      <c r="F890" s="20">
        <f t="shared" si="13"/>
        <v>900547</v>
      </c>
    </row>
    <row r="891" spans="1:6" ht="15.75">
      <c r="A891" s="24" t="s">
        <v>605</v>
      </c>
      <c r="B891" s="18" t="s">
        <v>606</v>
      </c>
      <c r="C891" s="18">
        <v>830</v>
      </c>
      <c r="D891" s="19">
        <v>1000000</v>
      </c>
      <c r="E891" s="26">
        <v>-99453</v>
      </c>
      <c r="F891" s="20">
        <f t="shared" si="13"/>
        <v>900547</v>
      </c>
    </row>
    <row r="892" spans="1:6" ht="78.75">
      <c r="A892" s="24" t="s">
        <v>607</v>
      </c>
      <c r="B892" s="18" t="s">
        <v>608</v>
      </c>
      <c r="C892" s="18"/>
      <c r="D892" s="19">
        <f>D893</f>
        <v>200000</v>
      </c>
      <c r="E892" s="20">
        <f>E893</f>
        <v>0</v>
      </c>
      <c r="F892" s="20">
        <f t="shared" si="13"/>
        <v>200000</v>
      </c>
    </row>
    <row r="893" spans="1:6" ht="15.75">
      <c r="A893" s="28" t="s">
        <v>17</v>
      </c>
      <c r="B893" s="18" t="s">
        <v>608</v>
      </c>
      <c r="C893" s="18">
        <v>800</v>
      </c>
      <c r="D893" s="19">
        <f>D894</f>
        <v>200000</v>
      </c>
      <c r="E893" s="20">
        <f>E894</f>
        <v>0</v>
      </c>
      <c r="F893" s="20">
        <f t="shared" si="13"/>
        <v>200000</v>
      </c>
    </row>
    <row r="894" spans="1:6" ht="15.75">
      <c r="A894" s="24" t="s">
        <v>310</v>
      </c>
      <c r="B894" s="18" t="s">
        <v>608</v>
      </c>
      <c r="C894" s="18">
        <v>880</v>
      </c>
      <c r="D894" s="19">
        <v>200000</v>
      </c>
      <c r="E894" s="20"/>
      <c r="F894" s="62">
        <f t="shared" si="13"/>
        <v>200000</v>
      </c>
    </row>
    <row r="895" spans="1:6" ht="78.75">
      <c r="A895" s="24" t="s">
        <v>609</v>
      </c>
      <c r="B895" s="18" t="s">
        <v>610</v>
      </c>
      <c r="C895" s="18"/>
      <c r="D895" s="22">
        <f>D896</f>
        <v>0</v>
      </c>
      <c r="E895" s="22">
        <f>E896</f>
        <v>482748</v>
      </c>
      <c r="F895" s="23">
        <f t="shared" si="13"/>
        <v>482748</v>
      </c>
    </row>
    <row r="896" spans="1:6" ht="15.75">
      <c r="A896" s="24" t="s">
        <v>29</v>
      </c>
      <c r="B896" s="18" t="s">
        <v>610</v>
      </c>
      <c r="C896" s="18">
        <v>300</v>
      </c>
      <c r="D896" s="22">
        <f>D897</f>
        <v>0</v>
      </c>
      <c r="E896" s="22">
        <f>E897</f>
        <v>482748</v>
      </c>
      <c r="F896" s="23">
        <f t="shared" si="13"/>
        <v>482748</v>
      </c>
    </row>
    <row r="897" spans="1:6" ht="15.75">
      <c r="A897" s="30" t="s">
        <v>567</v>
      </c>
      <c r="B897" s="31" t="s">
        <v>610</v>
      </c>
      <c r="C897" s="31">
        <v>350</v>
      </c>
      <c r="D897" s="63"/>
      <c r="E897" s="64">
        <v>482748</v>
      </c>
      <c r="F897" s="65">
        <f t="shared" si="13"/>
        <v>482748</v>
      </c>
    </row>
    <row r="898" spans="1:6" ht="47.25">
      <c r="A898" s="24" t="s">
        <v>611</v>
      </c>
      <c r="B898" s="18" t="s">
        <v>612</v>
      </c>
      <c r="C898" s="66"/>
      <c r="D898" s="26">
        <f>D899</f>
        <v>0</v>
      </c>
      <c r="E898" s="26">
        <f>E899</f>
        <v>39900</v>
      </c>
      <c r="F898" s="23">
        <f t="shared" si="13"/>
        <v>39900</v>
      </c>
    </row>
    <row r="899" spans="1:6" ht="31.5">
      <c r="A899" s="28" t="s">
        <v>27</v>
      </c>
      <c r="B899" s="18" t="s">
        <v>612</v>
      </c>
      <c r="C899" s="18">
        <v>200</v>
      </c>
      <c r="D899" s="26">
        <f>D900</f>
        <v>0</v>
      </c>
      <c r="E899" s="26">
        <f>E900</f>
        <v>39900</v>
      </c>
      <c r="F899" s="23">
        <f t="shared" si="13"/>
        <v>39900</v>
      </c>
    </row>
    <row r="900" spans="1:6" ht="31.5">
      <c r="A900" s="28" t="s">
        <v>28</v>
      </c>
      <c r="B900" s="18" t="s">
        <v>612</v>
      </c>
      <c r="C900" s="18">
        <v>240</v>
      </c>
      <c r="D900" s="26">
        <v>0</v>
      </c>
      <c r="E900" s="26">
        <v>39900</v>
      </c>
      <c r="F900" s="65">
        <f t="shared" si="13"/>
        <v>39900</v>
      </c>
    </row>
    <row r="901" spans="1:6" ht="16.5">
      <c r="A901" s="67" t="s">
        <v>613</v>
      </c>
      <c r="B901" s="68"/>
      <c r="C901" s="69"/>
      <c r="D901" s="70">
        <f>SUM(D8,D167,D238,D245,D265,D424,D466,D485,D498,D539,D577,D605,D635,D663,D676,D689)</f>
        <v>6845134171.809999</v>
      </c>
      <c r="E901" s="70">
        <f>SUM(E8,E167,E238,E245,E265,E424,E466,E485,E498,E539,E577,E605,E635,E663,E676,E689)</f>
        <v>280759788.7700001</v>
      </c>
      <c r="F901" s="71">
        <f t="shared" si="13"/>
        <v>7125893960.58</v>
      </c>
    </row>
  </sheetData>
  <sheetProtection selectLockedCells="1" selectUnlockedCells="1"/>
  <mergeCells count="4">
    <mergeCell ref="D1:F1"/>
    <mergeCell ref="D2:F2"/>
    <mergeCell ref="A4:F4"/>
    <mergeCell ref="A5:F5"/>
  </mergeCells>
  <printOptions/>
  <pageMargins left="0.9597222222222223" right="0.5097222222222222" top="0.5298611111111111" bottom="0.3798611111111111" header="0.5118055555555555" footer="0.1597222222222222"/>
  <pageSetup firstPageNumber="29" useFirstPageNumber="1" fitToHeight="0" fitToWidth="1" horizontalDpi="300" verticalDpi="300" orientation="portrait" paperSize="9" scale="58"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Фещенко ИН</dc:creator>
  <cp:keywords/>
  <dc:description/>
  <cp:lastModifiedBy>user</cp:lastModifiedBy>
  <dcterms:created xsi:type="dcterms:W3CDTF">2020-12-22T13:39:41Z</dcterms:created>
  <dcterms:modified xsi:type="dcterms:W3CDTF">2020-12-28T11:37:13Z</dcterms:modified>
  <cp:category/>
  <cp:version/>
  <cp:contentType/>
  <cp:contentStatus/>
</cp:coreProperties>
</file>